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9345" yWindow="-90" windowWidth="19455" windowHeight="12675" tabRatio="580"/>
  </bookViews>
  <sheets>
    <sheet name="ПиП-АГ-Врање 3.2." sheetId="10" r:id="rId1"/>
  </sheets>
  <definedNames>
    <definedName name="_xlnm.Print_Area" localSheetId="0">'ПиП-АГ-Врање 3.2.'!$A$1:$F$2465</definedName>
    <definedName name="_xlnm.Print_Titles" localSheetId="0">'ПиП-АГ-Врање 3.2.'!$1:$4</definedName>
    <definedName name="sumapodstanica">#REF!</definedName>
    <definedName name="ukupno_a">#REF!</definedName>
    <definedName name="ukupno_b">#REF!</definedName>
    <definedName name="ukupno_c">#REF!</definedName>
    <definedName name="ukupno_d">#REF!</definedName>
    <definedName name="ukupno_e">#REF!</definedName>
    <definedName name="ukupno_f">#REF!</definedName>
    <definedName name="ukupno_grom">#REF!</definedName>
  </definedNames>
  <calcPr calcId="145621"/>
</workbook>
</file>

<file path=xl/calcChain.xml><?xml version="1.0" encoding="utf-8"?>
<calcChain xmlns="http://schemas.openxmlformats.org/spreadsheetml/2006/main">
  <c r="F1846" i="10" l="1"/>
  <c r="F1835" i="10"/>
  <c r="F1832" i="10"/>
  <c r="F1822" i="10"/>
  <c r="F1812" i="10"/>
  <c r="F1796" i="10"/>
  <c r="F1783" i="10"/>
  <c r="F1729" i="10"/>
  <c r="F1713" i="10"/>
  <c r="F1632" i="10"/>
  <c r="F1628" i="10"/>
  <c r="F1624" i="10"/>
  <c r="F1609" i="10"/>
  <c r="F1598" i="10"/>
  <c r="F1584" i="10"/>
  <c r="F1580" i="10"/>
  <c r="F1576" i="10"/>
  <c r="F1561" i="10"/>
  <c r="F1546" i="10"/>
  <c r="F1511" i="10"/>
  <c r="F1507" i="10"/>
  <c r="F1503" i="10"/>
  <c r="F1499" i="10"/>
  <c r="F1495" i="10"/>
  <c r="F1491" i="10"/>
  <c r="F1487" i="10"/>
  <c r="F1483" i="10"/>
  <c r="F1465" i="10"/>
  <c r="F1461" i="10"/>
  <c r="F1457" i="10"/>
  <c r="F1453" i="10"/>
  <c r="F1449" i="10"/>
  <c r="F1445" i="10"/>
  <c r="F1441" i="10"/>
  <c r="F1437" i="10"/>
  <c r="F1433" i="10"/>
  <c r="F1429" i="10"/>
  <c r="F1425" i="10"/>
  <c r="F1421" i="10"/>
  <c r="F1417" i="10"/>
  <c r="F1413" i="10"/>
  <c r="F1381" i="10"/>
  <c r="F1379" i="10"/>
  <c r="F1359" i="10"/>
  <c r="F1344" i="10"/>
  <c r="F1327" i="10"/>
  <c r="F1313" i="10"/>
  <c r="F1297" i="10"/>
  <c r="B2431" i="10"/>
  <c r="A2431" i="10"/>
  <c r="B2430" i="10"/>
  <c r="A2430" i="10"/>
  <c r="A1848" i="10"/>
  <c r="D1766" i="10"/>
  <c r="D1755" i="10"/>
  <c r="D1741" i="10"/>
  <c r="D1698" i="10"/>
  <c r="D1695" i="10"/>
  <c r="D1692" i="10"/>
  <c r="D1689" i="10"/>
  <c r="D1686" i="10"/>
  <c r="D1683" i="10"/>
  <c r="D1680" i="10"/>
  <c r="D1677" i="10"/>
  <c r="D1663" i="10"/>
  <c r="D1660" i="10"/>
  <c r="D1646" i="10"/>
  <c r="A1513" i="10"/>
  <c r="A1383" i="10"/>
  <c r="F1755" i="10" l="1"/>
  <c r="F1692" i="10"/>
  <c r="F1646" i="10"/>
  <c r="F1660" i="10"/>
  <c r="F1683" i="10"/>
  <c r="F1695" i="10"/>
  <c r="F1741" i="10"/>
  <c r="F1663" i="10"/>
  <c r="F1686" i="10"/>
  <c r="F1698" i="10"/>
  <c r="F1677" i="10"/>
  <c r="F1689" i="10"/>
  <c r="F1766" i="10"/>
  <c r="F1680" i="10"/>
  <c r="F2404" i="10" l="1"/>
  <c r="F2399" i="10"/>
  <c r="D2413" i="10" l="1"/>
  <c r="D2417" i="10" s="1"/>
  <c r="D2361" i="10"/>
  <c r="D2352" i="10" l="1"/>
  <c r="D2332" i="10"/>
  <c r="F2352" i="10" l="1"/>
  <c r="D2299" i="10"/>
  <c r="D2335" i="10" l="1"/>
  <c r="D2115" i="10"/>
  <c r="D2139" i="10"/>
  <c r="D2118" i="10"/>
  <c r="D2112" i="10"/>
  <c r="D2109" i="10"/>
  <c r="D2079" i="10"/>
  <c r="D2076" i="10"/>
  <c r="D2073" i="10"/>
  <c r="D2070" i="10"/>
  <c r="D2054" i="10"/>
  <c r="D2063" i="10"/>
  <c r="D2060" i="10"/>
  <c r="D2057" i="10"/>
  <c r="D2048" i="10"/>
  <c r="D2045" i="10"/>
  <c r="D2042" i="10"/>
  <c r="D2039" i="10"/>
  <c r="D2025" i="10"/>
  <c r="D2022" i="10"/>
  <c r="D2019" i="10"/>
  <c r="D2016" i="10"/>
  <c r="D1993" i="10"/>
  <c r="D1990" i="10"/>
  <c r="D1987" i="10"/>
  <c r="D1984" i="10"/>
  <c r="D1995" i="10" l="1"/>
  <c r="D2027" i="10"/>
  <c r="D2050" i="10"/>
  <c r="D2081" i="10"/>
  <c r="D2065" i="10"/>
  <c r="D2006" i="10"/>
  <c r="D2003" i="10"/>
  <c r="D2000" i="10"/>
  <c r="D1969" i="10"/>
  <c r="F1969" i="10" l="1"/>
  <c r="D1238" i="10"/>
  <c r="D1232" i="10"/>
  <c r="D1229" i="10"/>
  <c r="D1224" i="10"/>
  <c r="D853" i="10"/>
  <c r="D850" i="10"/>
  <c r="D847" i="10"/>
  <c r="D844" i="10"/>
  <c r="D1216" i="10"/>
  <c r="D1211" i="10"/>
  <c r="D1220" i="10" l="1"/>
  <c r="D855" i="10"/>
  <c r="D1058" i="10"/>
  <c r="D1052" i="10"/>
  <c r="D981" i="10"/>
  <c r="D978" i="10"/>
  <c r="D975" i="10"/>
  <c r="D972" i="10"/>
  <c r="D865" i="10"/>
  <c r="D831" i="10"/>
  <c r="D819" i="10"/>
  <c r="D776" i="10"/>
  <c r="D1866" i="10"/>
  <c r="F1866" i="10" l="1"/>
  <c r="D983" i="10"/>
  <c r="D1252" i="10"/>
  <c r="D956" i="10"/>
  <c r="D786" i="10"/>
  <c r="D745" i="10"/>
  <c r="D742" i="10"/>
  <c r="D739" i="10"/>
  <c r="D736" i="10"/>
  <c r="D662" i="10"/>
  <c r="D629" i="10"/>
  <c r="D626" i="10"/>
  <c r="D623" i="10"/>
  <c r="D747" i="10" l="1"/>
  <c r="D603" i="10"/>
  <c r="D468" i="10" l="1"/>
  <c r="D385" i="10"/>
  <c r="D382" i="10"/>
  <c r="D379" i="10"/>
  <c r="D376" i="10"/>
  <c r="D191" i="10"/>
  <c r="D218" i="10"/>
  <c r="D215" i="10"/>
  <c r="D212" i="10"/>
  <c r="D209" i="10"/>
  <c r="D195" i="10"/>
  <c r="D169" i="10"/>
  <c r="D172" i="10"/>
  <c r="D124" i="10"/>
  <c r="D197" i="10" l="1"/>
  <c r="D387" i="10"/>
  <c r="D29" i="10"/>
  <c r="D2389" i="10" l="1"/>
  <c r="F2389" i="10" l="1"/>
  <c r="D907" i="10" l="1"/>
  <c r="D901" i="10"/>
  <c r="D2329" i="10"/>
  <c r="D2326" i="10"/>
  <c r="D2323" i="10"/>
  <c r="D2320" i="10"/>
  <c r="D2305" i="10"/>
  <c r="D2302" i="10"/>
  <c r="D2290" i="10"/>
  <c r="D2276" i="10"/>
  <c r="D2261" i="10"/>
  <c r="D2264" i="10"/>
  <c r="D2247" i="10"/>
  <c r="D2249" i="10"/>
  <c r="D2244" i="10"/>
  <c r="D2221" i="10"/>
  <c r="D2224" i="10"/>
  <c r="D2206" i="10"/>
  <c r="D2203" i="10"/>
  <c r="D2185" i="10"/>
  <c r="D2188" i="10"/>
  <c r="D2092" i="10"/>
  <c r="D2095" i="10"/>
  <c r="D2128" i="10"/>
  <c r="D2131" i="10"/>
  <c r="D2153" i="10"/>
  <c r="D2150" i="10"/>
  <c r="D2009" i="10"/>
  <c r="D2011" i="10" s="1"/>
  <c r="D1960" i="10"/>
  <c r="D1952" i="10"/>
  <c r="D1937" i="10"/>
  <c r="D437" i="10"/>
  <c r="D520" i="10"/>
  <c r="D1928" i="10"/>
  <c r="F1928" i="10" s="1"/>
  <c r="D1915" i="10"/>
  <c r="D1905" i="10"/>
  <c r="D1885" i="10"/>
  <c r="D1897" i="10"/>
  <c r="D1875" i="10"/>
  <c r="D1858" i="10"/>
  <c r="F1254" i="10"/>
  <c r="F1252" i="10"/>
  <c r="D1235" i="10"/>
  <c r="D1240" i="10" s="1"/>
  <c r="D720" i="10"/>
  <c r="D723" i="10"/>
  <c r="D705" i="10"/>
  <c r="D702" i="10"/>
  <c r="D687" i="10"/>
  <c r="D684" i="10"/>
  <c r="D671" i="10"/>
  <c r="D668" i="10"/>
  <c r="D651" i="10"/>
  <c r="D648" i="10"/>
  <c r="D609" i="10"/>
  <c r="D612" i="10"/>
  <c r="D582" i="10"/>
  <c r="D585" i="10"/>
  <c r="D561" i="10"/>
  <c r="D565" i="10" s="1"/>
  <c r="D534" i="10"/>
  <c r="D531" i="10"/>
  <c r="D483" i="10"/>
  <c r="D486" i="10"/>
  <c r="D453" i="10"/>
  <c r="D456" i="10"/>
  <c r="D1160" i="10"/>
  <c r="D1157" i="10"/>
  <c r="D1135" i="10"/>
  <c r="D1132" i="10"/>
  <c r="F1100" i="10"/>
  <c r="F1092" i="10"/>
  <c r="D1085" i="10"/>
  <c r="D1055" i="10"/>
  <c r="D1060" i="10" s="1"/>
  <c r="D1022" i="10"/>
  <c r="D999" i="10"/>
  <c r="D996" i="10"/>
  <c r="D993" i="10"/>
  <c r="D990" i="10"/>
  <c r="F956" i="10"/>
  <c r="D945" i="10"/>
  <c r="D934" i="10"/>
  <c r="D931" i="10"/>
  <c r="D928" i="10"/>
  <c r="D925" i="10"/>
  <c r="D921" i="10"/>
  <c r="D868" i="10"/>
  <c r="D800" i="10"/>
  <c r="D794" i="10"/>
  <c r="F786" i="10"/>
  <c r="F776" i="10"/>
  <c r="B2422" i="10"/>
  <c r="B2423" i="10"/>
  <c r="B2424" i="10"/>
  <c r="B2425" i="10"/>
  <c r="B2426" i="10"/>
  <c r="B2427" i="10"/>
  <c r="B2428" i="10"/>
  <c r="B2429" i="10"/>
  <c r="B2432" i="10"/>
  <c r="B2433" i="10"/>
  <c r="B2434" i="10"/>
  <c r="B2435" i="10"/>
  <c r="B2436" i="10"/>
  <c r="B2437" i="10"/>
  <c r="D1137" i="10" l="1"/>
  <c r="F901" i="10"/>
  <c r="F1952" i="10"/>
  <c r="D2337" i="10"/>
  <c r="F1937" i="10"/>
  <c r="F1960" i="10"/>
  <c r="F1885" i="10"/>
  <c r="F1905" i="10"/>
  <c r="F921" i="10"/>
  <c r="F800" i="10"/>
  <c r="D936" i="10"/>
  <c r="F936" i="10" s="1"/>
  <c r="D1001" i="10"/>
  <c r="F520" i="10"/>
  <c r="F794" i="10"/>
  <c r="D508" i="10" l="1"/>
  <c r="D505" i="10"/>
  <c r="D434" i="10" l="1"/>
  <c r="D431" i="10"/>
  <c r="D428" i="10"/>
  <c r="D425" i="10"/>
  <c r="D411" i="10"/>
  <c r="D405" i="10"/>
  <c r="D408" i="10"/>
  <c r="D414" i="10"/>
  <c r="D397" i="10"/>
  <c r="D242" i="10"/>
  <c r="D267" i="10"/>
  <c r="D264" i="10"/>
  <c r="D261" i="10"/>
  <c r="D253" i="10"/>
  <c r="D250" i="10"/>
  <c r="F253" i="10" l="1"/>
  <c r="D439" i="10"/>
  <c r="F264" i="10"/>
  <c r="F261" i="10"/>
  <c r="F242" i="10"/>
  <c r="D416" i="10"/>
  <c r="F267" i="10"/>
  <c r="D206" i="10"/>
  <c r="D220" i="10" s="1"/>
  <c r="F197" i="10"/>
  <c r="D178" i="10"/>
  <c r="D175" i="10"/>
  <c r="D160" i="10"/>
  <c r="D157" i="10"/>
  <c r="D154" i="10"/>
  <c r="D151" i="10"/>
  <c r="D60" i="10"/>
  <c r="D40" i="10"/>
  <c r="D34" i="10"/>
  <c r="D180" i="10" l="1"/>
  <c r="D162" i="10"/>
  <c r="F60" i="10"/>
  <c r="D15" i="10" l="1"/>
  <c r="D357" i="10" l="1"/>
  <c r="D286" i="10"/>
  <c r="D279" i="10"/>
  <c r="D273" i="10"/>
  <c r="D230" i="10" l="1"/>
  <c r="D96" i="10"/>
  <c r="D348" i="10"/>
  <c r="D345" i="10"/>
  <c r="D2346" i="10"/>
  <c r="D2258" i="10"/>
  <c r="D2241" i="10"/>
  <c r="D2238" i="10"/>
  <c r="D2251" i="10" s="1"/>
  <c r="D2200" i="10" l="1"/>
  <c r="D2197" i="10" l="1"/>
  <c r="D2208" i="10" s="1"/>
  <c r="D311" i="10" l="1"/>
  <c r="D326" i="10"/>
  <c r="D329" i="10"/>
  <c r="D314" i="10"/>
  <c r="D308" i="10"/>
  <c r="D305" i="10"/>
  <c r="D1154" i="10" l="1"/>
  <c r="D1151" i="10"/>
  <c r="D1111" i="10"/>
  <c r="D1070" i="10"/>
  <c r="D1074" i="10" s="1"/>
  <c r="D681" i="10"/>
  <c r="D678" i="10"/>
  <c r="D2255" i="10"/>
  <c r="D2266" i="10" s="1"/>
  <c r="D2182" i="10"/>
  <c r="D2179" i="10"/>
  <c r="D2165" i="10"/>
  <c r="D2190" i="10" l="1"/>
  <c r="D689" i="10"/>
  <c r="D1162" i="10"/>
  <c r="D1120" i="10" l="1"/>
  <c r="F831" i="10"/>
  <c r="D915" i="10"/>
  <c r="D911" i="10"/>
  <c r="D74" i="10"/>
  <c r="D113" i="10"/>
  <c r="D47" i="10"/>
  <c r="F47" i="10" s="1"/>
  <c r="D54" i="10"/>
  <c r="D223" i="10" l="1"/>
  <c r="F329" i="10"/>
  <c r="F326" i="10"/>
  <c r="F314" i="10"/>
  <c r="D323" i="10"/>
  <c r="D320" i="10"/>
  <c r="F320" i="10" l="1"/>
  <c r="F323" i="10"/>
  <c r="F311" i="10"/>
  <c r="F308" i="10"/>
  <c r="F305" i="10"/>
  <c r="F279" i="10" l="1"/>
  <c r="F273" i="10"/>
  <c r="D144" i="10" l="1"/>
  <c r="D137" i="10"/>
  <c r="D131" i="10"/>
  <c r="F236" i="10"/>
  <c r="F230" i="10" l="1"/>
  <c r="D105" i="10"/>
  <c r="F105" i="10" l="1"/>
  <c r="D86" i="10"/>
  <c r="F86" i="10" s="1"/>
  <c r="D116" i="10" l="1"/>
  <c r="D77" i="10"/>
  <c r="F77" i="10" l="1"/>
  <c r="F116" i="10"/>
  <c r="F2165" i="10"/>
  <c r="D2030" i="10"/>
  <c r="F286" i="10"/>
  <c r="F250" i="10"/>
  <c r="F345" i="10"/>
  <c r="F348" i="10"/>
  <c r="F54" i="10"/>
  <c r="F2030" i="10" l="1"/>
  <c r="F2337" i="10"/>
  <c r="F915" i="10"/>
  <c r="F911" i="10"/>
  <c r="F907" i="10"/>
  <c r="F15" i="10" l="1"/>
  <c r="F2382" i="10" l="1"/>
  <c r="F2380" i="10"/>
  <c r="F2290" i="10" l="1"/>
  <c r="F2266" i="10"/>
  <c r="F2251" i="10"/>
  <c r="F2139" i="10"/>
  <c r="F1085" i="10"/>
  <c r="F468" i="10"/>
  <c r="F96" i="10" l="1"/>
  <c r="D342" i="10"/>
  <c r="F342" i="10" l="1"/>
  <c r="D699" i="10"/>
  <c r="D696" i="10"/>
  <c r="D707" i="10" s="1"/>
  <c r="D717" i="10" l="1"/>
  <c r="D714" i="10"/>
  <c r="D725" i="10" s="1"/>
  <c r="D1944" i="10" l="1"/>
  <c r="F1944" i="10" l="1"/>
  <c r="D859" i="10" l="1"/>
  <c r="F2190" i="10" l="1"/>
  <c r="F2346" i="10" l="1"/>
  <c r="F2208" i="10" l="1"/>
  <c r="F1858" i="10" l="1"/>
  <c r="F2081" i="10"/>
  <c r="F2065" i="10"/>
  <c r="F2050" i="10"/>
  <c r="F2011" i="10"/>
  <c r="F2027" i="10"/>
  <c r="F1995" i="10"/>
  <c r="F1162" i="10" l="1"/>
  <c r="F764" i="10"/>
  <c r="F416" i="10" l="1"/>
  <c r="F397" i="10"/>
  <c r="F387" i="10"/>
  <c r="F1111" i="10"/>
  <c r="F1137" i="10"/>
  <c r="F1144" i="10"/>
  <c r="D1267" i="10"/>
  <c r="A1269" i="10"/>
  <c r="A2280" i="10"/>
  <c r="D2086" i="10"/>
  <c r="D2089" i="10"/>
  <c r="D2147" i="10"/>
  <c r="D2144" i="10"/>
  <c r="D2155" i="10" s="1"/>
  <c r="F2155" i="10" s="1"/>
  <c r="D2097" i="10" l="1"/>
  <c r="F2097" i="10" s="1"/>
  <c r="F1267" i="10"/>
  <c r="F1848" i="10" l="1"/>
  <c r="F2431" i="10" s="1"/>
  <c r="F1370" i="10"/>
  <c r="F1383" i="10" s="1"/>
  <c r="F2429" i="10" s="1"/>
  <c r="F1513" i="10"/>
  <c r="F2430" i="10" s="1"/>
  <c r="D2308" i="10" l="1"/>
  <c r="D2310" i="10" s="1"/>
  <c r="F2310" i="10" s="1"/>
  <c r="F2308" i="10" l="1"/>
  <c r="D2125" i="10"/>
  <c r="D2122" i="10"/>
  <c r="D2133" i="10" s="1"/>
  <c r="F2133" i="10" s="1"/>
  <c r="F2167" i="10" s="1"/>
  <c r="A2435" i="10"/>
  <c r="F357" i="10" l="1"/>
  <c r="F2373" i="10" l="1"/>
  <c r="F2367" i="10"/>
  <c r="F2364" i="10"/>
  <c r="F2361" i="10"/>
  <c r="D2273" i="10" l="1"/>
  <c r="D2270" i="10"/>
  <c r="D2215" i="10"/>
  <c r="D2226" i="10" s="1"/>
  <c r="F2226" i="10" s="1"/>
  <c r="A2228" i="10"/>
  <c r="D2218" i="10"/>
  <c r="D2278" i="10" l="1"/>
  <c r="F2278" i="10" s="1"/>
  <c r="F2228" i="10" l="1"/>
  <c r="F2434" i="10" s="1"/>
  <c r="F1915" i="10" l="1"/>
  <c r="F1897" i="10"/>
  <c r="F1968" i="10" l="1"/>
  <c r="F1919" i="10" l="1"/>
  <c r="F1875" i="10"/>
  <c r="F1971" i="10" s="1"/>
  <c r="A2427" i="10"/>
  <c r="A2426" i="10"/>
  <c r="A2425" i="10"/>
  <c r="A2424" i="10"/>
  <c r="A2423" i="10"/>
  <c r="A2422" i="10"/>
  <c r="F1240" i="10" l="1"/>
  <c r="D1262" i="10" l="1"/>
  <c r="F1224" i="10"/>
  <c r="F1220" i="10"/>
  <c r="D1197" i="10"/>
  <c r="D1194" i="10"/>
  <c r="D1191" i="10"/>
  <c r="D1178" i="10"/>
  <c r="D1181" i="10"/>
  <c r="D1184" i="10"/>
  <c r="A2437" i="10"/>
  <c r="A2436" i="10"/>
  <c r="A2434" i="10"/>
  <c r="A2433" i="10"/>
  <c r="A2432" i="10"/>
  <c r="A2429" i="10"/>
  <c r="A2428" i="10"/>
  <c r="A2419" i="10"/>
  <c r="F2379" i="10"/>
  <c r="A2354" i="10"/>
  <c r="F2326" i="10"/>
  <c r="F2299" i="10"/>
  <c r="A2167" i="10"/>
  <c r="A1971" i="10"/>
  <c r="F1236" i="10"/>
  <c r="F1120" i="10"/>
  <c r="F1074" i="10"/>
  <c r="F1060" i="10"/>
  <c r="D1035" i="10"/>
  <c r="D1019" i="10"/>
  <c r="D1016" i="10"/>
  <c r="D1013" i="10"/>
  <c r="F1001" i="10"/>
  <c r="F983" i="10"/>
  <c r="F945" i="10"/>
  <c r="F2354" i="10" l="1"/>
  <c r="D1199" i="10"/>
  <c r="F1199" i="10" s="1"/>
  <c r="D1024" i="10"/>
  <c r="F1024" i="10" s="1"/>
  <c r="F1035" i="10"/>
  <c r="D1186" i="10"/>
  <c r="F1186" i="10" s="1"/>
  <c r="F1262" i="10"/>
  <c r="F1013" i="10"/>
  <c r="F2417" i="10"/>
  <c r="F1269" i="10" l="1"/>
  <c r="F2419" i="10"/>
  <c r="F2437" i="10" s="1"/>
  <c r="F2433" i="10"/>
  <c r="F2280" i="10"/>
  <c r="F2435" i="10" s="1"/>
  <c r="F2432" i="10"/>
  <c r="F2428" i="10" l="1"/>
  <c r="D862" i="10"/>
  <c r="D870" i="10" s="1"/>
  <c r="F870" i="10" s="1"/>
  <c r="F855" i="10"/>
  <c r="F819" i="10"/>
  <c r="F768" i="10" l="1"/>
  <c r="F802" i="10" s="1"/>
  <c r="F747" i="10" l="1"/>
  <c r="F689" i="10"/>
  <c r="D665" i="10"/>
  <c r="D673" i="10" s="1"/>
  <c r="D642" i="10"/>
  <c r="D620" i="10"/>
  <c r="D631" i="10" s="1"/>
  <c r="F631" i="10" s="1"/>
  <c r="D576" i="10"/>
  <c r="F725" i="10"/>
  <c r="F707" i="10"/>
  <c r="F673" i="10" l="1"/>
  <c r="D645" i="10"/>
  <c r="D653" i="10" s="1"/>
  <c r="F653" i="10" s="1"/>
  <c r="F636" i="10"/>
  <c r="D606" i="10"/>
  <c r="D614" i="10" s="1"/>
  <c r="F614" i="10" s="1"/>
  <c r="F2436" i="10" l="1"/>
  <c r="D579" i="10"/>
  <c r="D587" i="10" s="1"/>
  <c r="F587" i="10" s="1"/>
  <c r="F570" i="10"/>
  <c r="F565" i="10"/>
  <c r="F549" i="10"/>
  <c r="D543" i="10" l="1"/>
  <c r="F548" i="10"/>
  <c r="D528" i="10"/>
  <c r="D525" i="10"/>
  <c r="D447" i="10"/>
  <c r="D450" i="10"/>
  <c r="D480" i="10"/>
  <c r="D477" i="10"/>
  <c r="D502" i="10"/>
  <c r="D499" i="10"/>
  <c r="D510" i="10" s="1"/>
  <c r="F510" i="10" s="1"/>
  <c r="F543" i="10" l="1"/>
  <c r="D488" i="10"/>
  <c r="F488" i="10" s="1"/>
  <c r="D536" i="10"/>
  <c r="F536" i="10" s="1"/>
  <c r="D458" i="10"/>
  <c r="F458" i="10" l="1"/>
  <c r="F439" i="10" l="1"/>
  <c r="F34" i="10" l="1"/>
  <c r="F223" i="10" l="1"/>
  <c r="D294" i="10" l="1"/>
  <c r="D297" i="10"/>
  <c r="F297" i="10" s="1"/>
  <c r="F294" i="10" l="1"/>
  <c r="F74" i="10" l="1"/>
  <c r="F220" i="10" l="1"/>
  <c r="F180" i="10"/>
  <c r="F137" i="10"/>
  <c r="F131" i="10"/>
  <c r="F124" i="10"/>
  <c r="F113" i="10"/>
  <c r="F40" i="10"/>
  <c r="F29" i="10"/>
  <c r="F62" i="10" l="1"/>
  <c r="F162" i="10"/>
  <c r="F359" i="10" s="1"/>
  <c r="F144" i="10"/>
  <c r="F568" i="10" l="1"/>
  <c r="F362" i="10" l="1"/>
  <c r="F2426" i="10" l="1"/>
  <c r="F890" i="10"/>
  <c r="F1164" i="10" s="1"/>
  <c r="F2427" i="10" l="1"/>
  <c r="F553" i="10" l="1"/>
  <c r="F749" i="10" s="1"/>
  <c r="F364" i="10" l="1"/>
  <c r="F366" i="10" s="1"/>
  <c r="F2424" i="10" l="1"/>
  <c r="F2422" i="10" l="1"/>
  <c r="A1164" i="10" l="1"/>
  <c r="A802" i="10" l="1"/>
  <c r="A749" i="10"/>
  <c r="A366" i="10" l="1"/>
  <c r="A359" i="10"/>
  <c r="A62" i="10" l="1"/>
  <c r="F2423" i="10" l="1"/>
  <c r="F2425" i="10"/>
  <c r="F2439" i="10" l="1"/>
  <c r="F2440" i="10" l="1"/>
  <c r="F2441" i="10" s="1"/>
</calcChain>
</file>

<file path=xl/sharedStrings.xml><?xml version="1.0" encoding="utf-8"?>
<sst xmlns="http://schemas.openxmlformats.org/spreadsheetml/2006/main" count="2236" uniqueCount="1525">
  <si>
    <t>ФАСАДЕРСКИ РАДОВИ - укупно</t>
  </si>
  <si>
    <t>6.3.</t>
  </si>
  <si>
    <t>6.4.</t>
  </si>
  <si>
    <t>6.7.</t>
  </si>
  <si>
    <t>10.</t>
  </si>
  <si>
    <t>Обрачун по комаду отирача.</t>
  </si>
  <si>
    <t>2.1.</t>
  </si>
  <si>
    <t>2.2.</t>
  </si>
  <si>
    <t>7.</t>
  </si>
  <si>
    <t>ЗЕМЉАНИ РАДОВИ - укупно</t>
  </si>
  <si>
    <t>1.1.</t>
  </si>
  <si>
    <t>7.1.</t>
  </si>
  <si>
    <t>7.2.</t>
  </si>
  <si>
    <t>8.</t>
  </si>
  <si>
    <t>8.1.</t>
  </si>
  <si>
    <t>фасадна алуминарија</t>
  </si>
  <si>
    <t>РЕКАПИТУЛАЦИЈА</t>
  </si>
  <si>
    <t>СТОЛАРСКИ  РАДОВИ</t>
  </si>
  <si>
    <t>МОЛЕРСКО ФАРБАРСКИ РАДОВИ</t>
  </si>
  <si>
    <t>ФАСАДЕРСКИ РАДОВИ</t>
  </si>
  <si>
    <t>РАЗНИ РАДОВИ</t>
  </si>
  <si>
    <t>1.</t>
  </si>
  <si>
    <t>2.</t>
  </si>
  <si>
    <t>3.</t>
  </si>
  <si>
    <t>4.</t>
  </si>
  <si>
    <t>5.</t>
  </si>
  <si>
    <t>приземље</t>
  </si>
  <si>
    <t>ЛИМАРСКИ РАДОВИ</t>
  </si>
  <si>
    <t>КЕРАМИЧАРСКИ РАДОВИ</t>
  </si>
  <si>
    <t>Бр.</t>
  </si>
  <si>
    <t>Количина</t>
  </si>
  <si>
    <t>ком</t>
  </si>
  <si>
    <t>Опис радова</t>
  </si>
  <si>
    <t>А</t>
  </si>
  <si>
    <t>Б</t>
  </si>
  <si>
    <t>АxБ</t>
  </si>
  <si>
    <t>Јед. мере</t>
  </si>
  <si>
    <t>м²</t>
  </si>
  <si>
    <t>м¹</t>
  </si>
  <si>
    <t>м³</t>
  </si>
  <si>
    <t>Обрачун по м².</t>
  </si>
  <si>
    <t>ЗЕМЉАНИ РАДОВИ</t>
  </si>
  <si>
    <t>АРМИРАЧКИ РАДОВИ - укупно</t>
  </si>
  <si>
    <t>6.</t>
  </si>
  <si>
    <t>АЛУМИНАРИЈА И БРАВАРСКИ РАДОВИ</t>
  </si>
  <si>
    <t>МОЛЕРСКО ФАРБАРСКИ РАДОВИ - укупно</t>
  </si>
  <si>
    <t>СТОЛАРСКИ  РАДОВИ - укупно</t>
  </si>
  <si>
    <t>Обрачун по м³.</t>
  </si>
  <si>
    <t>БЕТОНСКИ И АРМИРАНО БЕТОНСКИ РАДОВИ</t>
  </si>
  <si>
    <t xml:space="preserve">АРМИРАЧКИ РАДОВИ </t>
  </si>
  <si>
    <t>Обрачун по килограму.</t>
  </si>
  <si>
    <t>кг</t>
  </si>
  <si>
    <t>ЗИДАРСКИ РАДОВИ</t>
  </si>
  <si>
    <t>малтерисање зидова</t>
  </si>
  <si>
    <t>ТЕСАРСКИ РАДОВИ</t>
  </si>
  <si>
    <t>ЗИДАРСКИ РАДОВИ - укупно</t>
  </si>
  <si>
    <t>ТЕСАРСКИ РАДОВИ - укупно</t>
  </si>
  <si>
    <t>ИЗОЛАТЕРСКИ РАДОВИ - укупно</t>
  </si>
  <si>
    <t>АЛУМИНАРИЈА И БРАВАРСКИ РАДОВИ - укупно</t>
  </si>
  <si>
    <t>ЛИМАРСКИ РАДОВИ - укупно</t>
  </si>
  <si>
    <t>Напомена:</t>
  </si>
  <si>
    <t>5.1.</t>
  </si>
  <si>
    <t>6.1.</t>
  </si>
  <si>
    <t>6.2.</t>
  </si>
  <si>
    <t>8.2.</t>
  </si>
  <si>
    <t>8.3.</t>
  </si>
  <si>
    <t>зидарска мера 100/210 цм</t>
  </si>
  <si>
    <t>11.</t>
  </si>
  <si>
    <t>11.1.</t>
  </si>
  <si>
    <t>11.2.</t>
  </si>
  <si>
    <t>11.3.</t>
  </si>
  <si>
    <t>12.</t>
  </si>
  <si>
    <t>2.9.</t>
  </si>
  <si>
    <t>2.10.</t>
  </si>
  <si>
    <t>14.</t>
  </si>
  <si>
    <t>14.1.</t>
  </si>
  <si>
    <t>15.</t>
  </si>
  <si>
    <t>15.1.</t>
  </si>
  <si>
    <t>15.2.</t>
  </si>
  <si>
    <t>13.</t>
  </si>
  <si>
    <t>13.1.</t>
  </si>
  <si>
    <t>9.</t>
  </si>
  <si>
    <t>3.1.</t>
  </si>
  <si>
    <t>4.1.</t>
  </si>
  <si>
    <t>2.6.</t>
  </si>
  <si>
    <t>16.</t>
  </si>
  <si>
    <t>16.1.</t>
  </si>
  <si>
    <t>16.3.</t>
  </si>
  <si>
    <t>16.2.</t>
  </si>
  <si>
    <t>БЕТОНСКИ И АРМ. БЕТОНСКИ РАДОВИ - укупно</t>
  </si>
  <si>
    <t>4.4.</t>
  </si>
  <si>
    <t>4.6.</t>
  </si>
  <si>
    <t>4.7.</t>
  </si>
  <si>
    <t>Обрачун по м¹.</t>
  </si>
  <si>
    <t>ИЗОЛАТЕРСКИ РАДОВИ</t>
  </si>
  <si>
    <t>16.6.</t>
  </si>
  <si>
    <t>Обрачун по комаду.</t>
  </si>
  <si>
    <t>Обрачун по м² са израдом армирано бетонских серклажа, арматуром и оплатом.</t>
  </si>
  <si>
    <t>Обрачун по комаду описане позиције.</t>
  </si>
  <si>
    <t>Обрачун по комаду уграђених казанчића.</t>
  </si>
  <si>
    <t xml:space="preserve"> м² </t>
  </si>
  <si>
    <t>КЕРАМИЧАРСКИ РАДОВИ - укупно</t>
  </si>
  <si>
    <t>СУВОМОНТАЖНИ РАДОВИ</t>
  </si>
  <si>
    <t>СУВОМОНТАЖНИ РАДОВИ - укупно</t>
  </si>
  <si>
    <t>РАЗНИ РАДОВИ - укупно</t>
  </si>
  <si>
    <t>Обујмице са држачима поставити на размаку од 200 цм. Преко обујмица поставити украсну пластифицирану траку. Завршетак олучне цеви по детаљу.</t>
  </si>
  <si>
    <t>Обрачун по м², са радном скелом.</t>
  </si>
  <si>
    <t>Завршно чишћење просторија са прањем комплетне столарије и браварије, стакала и др, непосредно пред технички пријем.</t>
  </si>
  <si>
    <t>16.7.</t>
  </si>
  <si>
    <t>ознака 1 у кругу</t>
  </si>
  <si>
    <t>ознака 2 у кругу</t>
  </si>
  <si>
    <t>ознака 1 у осмоуглу</t>
  </si>
  <si>
    <t>ознака 4 у дуплом квадрату</t>
  </si>
  <si>
    <t>5.3.</t>
  </si>
  <si>
    <t>15.4.</t>
  </si>
  <si>
    <t>Радити у свему према спецификацији произвођача.</t>
  </si>
  <si>
    <t>7.5.</t>
  </si>
  <si>
    <t>вертикала Ø 125 мм</t>
  </si>
  <si>
    <t>укупно Пос 6.3.2.</t>
  </si>
  <si>
    <t>Обрачун по комаду уграђених, и финално обрађених врата.</t>
  </si>
  <si>
    <t>ПВЦ СТОЛАРИЈА</t>
  </si>
  <si>
    <t>ПВЦ СТОЛАРИЈА - укупно</t>
  </si>
  <si>
    <t>2. Према величини крила одредити број шарки и носивост, за врата мин 2-3 ком по висини крила.</t>
  </si>
  <si>
    <t>3. Сви радови за ПВЦ столарију изводе се према појединачним описима шема, детаљима и овереним радионичким цртежима.</t>
  </si>
  <si>
    <t>Обрачун по комаду уграђених и  застакљених позиција.</t>
  </si>
  <si>
    <t>ознака 2   у дуплом кругу</t>
  </si>
  <si>
    <t>ознака 3   у дуплом кругу</t>
  </si>
  <si>
    <t>Обрачун по комаду уграђених, застакљених и финално обрађених позиција.</t>
  </si>
  <si>
    <t>9.2.</t>
  </si>
  <si>
    <t>ознака 2 у дуплом квадрату</t>
  </si>
  <si>
    <t>Обрачун по комаду уграђених,  финално обрађених позиција.</t>
  </si>
  <si>
    <t>Обрачун по м¹ уграђених и финално обрађених ограда.</t>
  </si>
  <si>
    <t>2.4.</t>
  </si>
  <si>
    <t>2.5.</t>
  </si>
  <si>
    <t>2.7.</t>
  </si>
  <si>
    <t>2.8.</t>
  </si>
  <si>
    <t>фасадни зидови</t>
  </si>
  <si>
    <t>4.2.</t>
  </si>
  <si>
    <t>4.3.</t>
  </si>
  <si>
    <t>4.8.</t>
  </si>
  <si>
    <t>4.9.</t>
  </si>
  <si>
    <t>Рад на монтажи плафона посебно координирати са извођачем инсталација да не би дошло до непотребне демонтаже и поновне монтаже елемената.</t>
  </si>
  <si>
    <t>5.2.</t>
  </si>
  <si>
    <t>6.10.</t>
  </si>
  <si>
    <t>6.11.</t>
  </si>
  <si>
    <t xml:space="preserve">После облагања зидова, све шупљине између плочица и зида залити ретким цементним малтером. </t>
  </si>
  <si>
    <t>6.3.2.</t>
  </si>
  <si>
    <t>Обрачун по м², м³ са потребном оплатом и челичним подупирачима.</t>
  </si>
  <si>
    <t>15.3.</t>
  </si>
  <si>
    <t>12.2.</t>
  </si>
  <si>
    <t>12.1.1.</t>
  </si>
  <si>
    <t>12.1.2.</t>
  </si>
  <si>
    <t>12.3.</t>
  </si>
  <si>
    <t>12.4.</t>
  </si>
  <si>
    <t>димензија 100/50 цм</t>
  </si>
  <si>
    <t>16.4.</t>
  </si>
  <si>
    <t>6.8.</t>
  </si>
  <si>
    <t>6.9.</t>
  </si>
  <si>
    <t>2.11.</t>
  </si>
  <si>
    <t>рампа</t>
  </si>
  <si>
    <t xml:space="preserve">Напомена: </t>
  </si>
  <si>
    <t>Ограду на степеништу, радити према датим шемама.</t>
  </si>
  <si>
    <t>6.6.</t>
  </si>
  <si>
    <t>Пре малтерисања површине очистити од прашине, опрати и прскати цементним млеком са додатком просејаног шљунка.</t>
  </si>
  <si>
    <t>Обрачун по м² омалтерисане површине.</t>
  </si>
  <si>
    <t>укупно Пос 4.1.</t>
  </si>
  <si>
    <t>Набавка материјала, израда и уградња подизна метална решетка -  улаз у објекат.</t>
  </si>
  <si>
    <t>=2,9*5</t>
  </si>
  <si>
    <t>4.10.</t>
  </si>
  <si>
    <t>Обрачун по м² хоризонталне пројекције уграђене и заштићене кровне конструкције.</t>
  </si>
  <si>
    <t>укупно Пос 12.3.</t>
  </si>
  <si>
    <t>укупно Пос 15.2.</t>
  </si>
  <si>
    <t>зидарска мера 90/210цм</t>
  </si>
  <si>
    <t>Ограду радити према датим шемама.</t>
  </si>
  <si>
    <t>унутрашња ограда степеништа</t>
  </si>
  <si>
    <t>9.1.</t>
  </si>
  <si>
    <t>ознака 2*   у дуплом кругу</t>
  </si>
  <si>
    <t>Израда према радионичких детаљима произвођача са обавезним усаглашавањем са пројектантом.</t>
  </si>
  <si>
    <t>1.4.</t>
  </si>
  <si>
    <t>2.12.</t>
  </si>
  <si>
    <t>4.12.</t>
  </si>
  <si>
    <t>4.13.</t>
  </si>
  <si>
    <t>4.13.1.</t>
  </si>
  <si>
    <t>укупно Пос 4.13.1.</t>
  </si>
  <si>
    <t>укупно Пос 6.3.1.</t>
  </si>
  <si>
    <t>10.1.</t>
  </si>
  <si>
    <t>10.2.</t>
  </si>
  <si>
    <t>10.3.</t>
  </si>
  <si>
    <t>10.4.</t>
  </si>
  <si>
    <t>10.5.</t>
  </si>
  <si>
    <t>10.6.</t>
  </si>
  <si>
    <t>10.7.</t>
  </si>
  <si>
    <t>10.8.</t>
  </si>
  <si>
    <t>10.9.</t>
  </si>
  <si>
    <t>10.10.</t>
  </si>
  <si>
    <t>10.11.</t>
  </si>
  <si>
    <t>10.12.</t>
  </si>
  <si>
    <t>10.13.</t>
  </si>
  <si>
    <t>10.14.</t>
  </si>
  <si>
    <t>13.2.</t>
  </si>
  <si>
    <t>13.3.</t>
  </si>
  <si>
    <t>16.5.</t>
  </si>
  <si>
    <t>Обрачун по м³ са свом потребном оплатом.</t>
  </si>
  <si>
    <t>6.13.</t>
  </si>
  <si>
    <t>Носач решетке од челичних L профила 50/50/2.5мм, рам  50/25/2.5 са испуном од флаха 20/2.5 на размаку од 25мм.</t>
  </si>
  <si>
    <t>1.3.</t>
  </si>
  <si>
    <t>Уграђена термоизолација мора имати термичке и механичке особине, прописане елаборатом грађевинске физике.</t>
  </si>
  <si>
    <t xml:space="preserve">Истовремено са зидањем  бетонирати хоризонталне и вертикалне армирано бетонске серклаже. </t>
  </si>
  <si>
    <t>укупно Пос 4.5.</t>
  </si>
  <si>
    <t xml:space="preserve">Током извођења радова обезбедити стални геотехнички надзор. </t>
  </si>
  <si>
    <t xml:space="preserve">Насипање пробраног материјала из ископа око укопаних зидова, према пројектованом терену. Насипање ископаног материјала радити у слојевима дебљине 30-35 цм. </t>
  </si>
  <si>
    <t>1.5.</t>
  </si>
  <si>
    <t>2.3.</t>
  </si>
  <si>
    <t>4.13.2.</t>
  </si>
  <si>
    <t>4.14.</t>
  </si>
  <si>
    <t>4.14.1.</t>
  </si>
  <si>
    <t>укупно Пос 4.14.1.</t>
  </si>
  <si>
    <t>4.14.2.</t>
  </si>
  <si>
    <t>укупно Пос 4.14.2.</t>
  </si>
  <si>
    <t>4.15.</t>
  </si>
  <si>
    <t>4.16.</t>
  </si>
  <si>
    <t>Обрачун по м² описане позиције.</t>
  </si>
  <si>
    <t>6.14.</t>
  </si>
  <si>
    <t>6.15.</t>
  </si>
  <si>
    <t>6.16.</t>
  </si>
  <si>
    <t>Извођење вршити машинским путем са потпуним изравнавањем слоја.</t>
  </si>
  <si>
    <t>Начин уградње је суви поступак са заливањем пур пеном.</t>
  </si>
  <si>
    <t>1. Све позиције обрађене у столарским радовима радити у свему према шемама детаљима и овереним радионичким цртежима.</t>
  </si>
  <si>
    <t>2. Израда радионичке документације је обавеза извођача, оверава је пројектант или надзорни орган.</t>
  </si>
  <si>
    <t xml:space="preserve">4. Завршна обрада је према појединачном опису и усвојеним узорцима завршних обрада.        </t>
  </si>
  <si>
    <t>5. Оков се уграђује на основу усвојених узорака. Сва столарија мора бити атестирана. Мере узети на лицу места. Отварање према приказу у основама.</t>
  </si>
  <si>
    <t>6.  Уградња је суви поступак са заливањем пур пеном.</t>
  </si>
  <si>
    <t xml:space="preserve">7. Приликом уградње приступити у свему према упутству произвођача. </t>
  </si>
  <si>
    <t>2. Финална обрада алуминарије је пластификација.</t>
  </si>
  <si>
    <t xml:space="preserve">3. Носећа конструкција је од алуминијумских профила, штокови се уграђују у сувој монтажи, преко челичних флахова анкерованих у зид. </t>
  </si>
  <si>
    <t>По целом обиму отвора извести заптивање "пур пеном".</t>
  </si>
  <si>
    <t>4. Према величини крила одредити број шарки и носивост, за врата мин 3 ком по висини крила.</t>
  </si>
  <si>
    <t>5. По целом обиму радити двоструки дихтунг профил (мин 3 преклопа).</t>
  </si>
  <si>
    <t>6. У склопу шеме је подпрозорна алуминијумска даска и прекривни обимни профил (веза са зидом).</t>
  </si>
  <si>
    <t>Радионичку документацију ради извођач радова, на основу својих технолошких решења, а одобрење за израду елемената је потписана радионичка документација од стране пројектанта или надзорног органа.</t>
  </si>
  <si>
    <t>8. Браварске позиције се морају извести од стандардних челичних профила, лимова, вучених кутијастих профила.</t>
  </si>
  <si>
    <t>9. Црна браварија се двоструко антикорозивно штити (одговарајућим антикорозивним средствима) и боји квалитетним емајл лаком (бојом за метал), у тону по усвојеном узорку. У спровођењу антикорозивне заштите морају се спровести све операције (одмашћивање, чишћење од рђе, премазивање).</t>
  </si>
  <si>
    <t>Уколико димензије одговарајућих позиција то захтевају алуминијумски профили се димензионишу према статичком прорачуну.</t>
  </si>
  <si>
    <t xml:space="preserve">ПП капак на ревизионом отвору </t>
  </si>
  <si>
    <t>Снабдевени су цилиндар бравицом са три кључа и плочицом са бројем стана. Поштанске сандучиће анкеровати у зидове, све према спецификацији произвођача.</t>
  </si>
  <si>
    <t>Све елементе заштитити против корозије антикорозивним премазом и бојити два пута емајл лаком у тону  тону по избору пројектанта.</t>
  </si>
  <si>
    <t>-Сав вишак ископаног материјала се депонује на привремену градилишну депонију за насипање и уређење терена (Пројекат уређења слободних површина).</t>
  </si>
  <si>
    <t>- Место градилишне депоније дефинише Надзорни орган</t>
  </si>
  <si>
    <t>Пре машинског ископа урадити премеравање, обележавање и  исколчавање зидова будуће зграде.</t>
  </si>
  <si>
    <t xml:space="preserve">Од утврђеног  положаја предњег зида у односу на регулациону линију, одмерити углове и дужине осталих зидова.  </t>
  </si>
  <si>
    <t>Радити у свему према Геотехничком елаборату, Техничком извештају уз Пројекат конструкције и уз надзор геомеханичара.</t>
  </si>
  <si>
    <t>Обрачун по м³ ископаног самониклог  материјала, са депоновањем на привремену градилишну депонију.</t>
  </si>
  <si>
    <t>Обрачун по м³, превезеног материјала.</t>
  </si>
  <si>
    <t>Приликом анкеровања у фасадни зид од гитер блока радове изводити пажљиво. Уградњу радити у свему према принципу Рал монтаже, применити две заптивне траке, једну спољну и једну унутрашњу.</t>
  </si>
  <si>
    <t>7. Мере узети на лицу места, отварање према приказу у основама.</t>
  </si>
  <si>
    <t>Радити по детаљу произвођа уз сагласност  које усваја Пројектант, уз сагласност Инвеститора.</t>
  </si>
  <si>
    <t>Произвођач је дужан да дефинише начин уградње радионичким цртежима на које је обавезан да добије сагласност  које усваја Пројектант, уз сагласност Инвеститора.</t>
  </si>
  <si>
    <t>8.4.</t>
  </si>
  <si>
    <t>8.5.</t>
  </si>
  <si>
    <t>Обрачун по м³ са потребном глатком оплатом и челичним подупирачима.</t>
  </si>
  <si>
    <t>Обрачун по м³ у збијеном стању, са довозом материјала са привремене градилишне  депоније.</t>
  </si>
  <si>
    <t>Шљунак мора бити чист, без органских примеса.</t>
  </si>
  <si>
    <t xml:space="preserve">Набавка материјала и бетонирање рампи, армираним бетоном МБ 30 (С25/30), споља. Рампе су дебљине према пројекту, са падом према графичкој документацији. Радити у свему према статичком прорачуну и детаљима арматуре. </t>
  </si>
  <si>
    <t>12.1.</t>
  </si>
  <si>
    <t>6.7.1.</t>
  </si>
  <si>
    <t>укупно Пос 6.7.1.</t>
  </si>
  <si>
    <t>6.7.2.</t>
  </si>
  <si>
    <t>укупно Пос 6.7.2.</t>
  </si>
  <si>
    <t>Укупно динара без ПДВ-а:</t>
  </si>
  <si>
    <t>Вредност ПДВ-а:</t>
  </si>
  <si>
    <t>Укупно динара са ПДВ-а:</t>
  </si>
  <si>
    <t>Јединична цена без ПДВ-а (дин)</t>
  </si>
  <si>
    <t>Укупна цена  без ПДВ-а (дин)</t>
  </si>
  <si>
    <t>2.13.</t>
  </si>
  <si>
    <t>4.17.</t>
  </si>
  <si>
    <t>8.6.</t>
  </si>
  <si>
    <t>Обрачун по м² изведене хидроизолације.</t>
  </si>
  <si>
    <t>Обрачун по м¹ уграђених олучних хоризонтала.</t>
  </si>
  <si>
    <t>12.2.1.</t>
  </si>
  <si>
    <t>12.2.2.</t>
  </si>
  <si>
    <t>укупно Пос 12.2.2.</t>
  </si>
  <si>
    <t>укупно Пос 12.2.1.</t>
  </si>
  <si>
    <t>12.4.1.</t>
  </si>
  <si>
    <t>8.7.</t>
  </si>
  <si>
    <t>Радити у свему према спецификацији произвођача и према графичкој документацији.</t>
  </si>
  <si>
    <t>15.5.</t>
  </si>
  <si>
    <t>Радити у свему према статичком прорачуну и детаљима арматуре.</t>
  </si>
  <si>
    <t>Механизовани утовар и одвоз вишка ископаног материјала на градилишну депонију где одреди надзорни орган.</t>
  </si>
  <si>
    <t xml:space="preserve"> Количина дата са увећањем за коефицијент товарења.</t>
  </si>
  <si>
    <t>Извођач је у обавези да приликом изградње пројектованог објекта, после изградње прве етаже постави репере и сними ''нултно стање'' у циљу праћења слегања, као у току изградње прве етаже, тако редовно на свакој следећој етажи.</t>
  </si>
  <si>
    <t>По завршетку изградње објекта снимање вршити на свака три месеца у трајању минимум 2 (две) године</t>
  </si>
  <si>
    <t>Обрачун по м³  са потребном оплатом  и челичним подупирачима.</t>
  </si>
  <si>
    <t xml:space="preserve">Набавка материјала, транспорт и бетонирање зидова дебљине дз=20 цм, армираним бетоном МБ 30 (С25/30), са остављањем потребних анкера и отвора. </t>
  </si>
  <si>
    <t>Обрачун по м²  са потребном металном оплатом  и челичним подупирачима.</t>
  </si>
  <si>
    <t>На сваких 2,00 м¹ тротоара узвести дилатационе разделнице ширине 2 цм и испунити их 2/3 песком и 1/3 врућим битуменом.</t>
  </si>
  <si>
    <t xml:space="preserve">Тротоар одвојити разделницом ширине 2 цм, дуж целог објекта и разделницу испунити врућим битуменом. </t>
  </si>
  <si>
    <t>Обрачун по м² изведеног тротоара са потребном оплатом.</t>
  </si>
  <si>
    <t>стубови правоугаоног пресека</t>
  </si>
  <si>
    <t>2.15.</t>
  </si>
  <si>
    <t>Набавка материјала, транспорт и бетонирање стубова и вертикалних серклажа, армираним бетоном МБ 30 (С25/30).</t>
  </si>
  <si>
    <t>2.16.</t>
  </si>
  <si>
    <t>Обрачун по м², са потребном глатком оплатом, челичним подупирачима и оплатом степеника.</t>
  </si>
  <si>
    <t>2.17.</t>
  </si>
  <si>
    <t>степеници 16,38/30 цм</t>
  </si>
  <si>
    <t>2.18.</t>
  </si>
  <si>
    <t>Набавка материјала, транспорт и бетонирање међуспратних плоча, дебљине дп=18 цм, армираним бетоном МБ 30 (С25/30), са остављањем анкера и отвора.</t>
  </si>
  <si>
    <t>Набавка материјала, транспорт и бетонирање косих степенишних плоча са истовременом израдом степеника и степенишних подеста, армираним бетоном МБ 30 (С25/30), у објекту.</t>
  </si>
  <si>
    <t>Набавка материјала, транспорт и бетонирање греда и хоризонталних серклажа армираним бетоном МБ 30 (С25/30).</t>
  </si>
  <si>
    <t>хоризонтални серклажи</t>
  </si>
  <si>
    <t xml:space="preserve">Тротоар је од неармираног бетона МБ 25, армиран мрежом Q 131. Горњу површину тротоара извести у нагибу од објекта. </t>
  </si>
  <si>
    <t>Количина арматуре дата  апроксимативно, до израде детаља, тако да може да дође до корекције количине.</t>
  </si>
  <si>
    <t>Набавка, транспорт, сечење, савијање и уградња арматуре Б 500 и МАГ.</t>
  </si>
  <si>
    <t xml:space="preserve">Набавка материјала, транспорт и бетонирање темељних трака, армираним бетоном МБ 30 (С25/30), са остављањем потребних анкера. </t>
  </si>
  <si>
    <t>Обрачун по м³  са потребном оплатом.</t>
  </si>
  <si>
    <t xml:space="preserve">Набавка материјала, транспорт и бетонирање темељних зидова дебљине дз=25 цм, армираним бетоном МБ 30 (С25/30), са остављањем потребних анкера. </t>
  </si>
  <si>
    <t xml:space="preserve">Набавка материјала, транспорт и бетонирање темељних зидова дебљине дз=20 цм, армираним бетоном МБ 30 (С25/30), са остављањем потребних анкера. </t>
  </si>
  <si>
    <t xml:space="preserve">Набавка материјала, транспорт и бетонирање темељних зидова дебљине дз=16 цм, армираним бетоном МБ 30 (С25/30), са остављањем потребних анкера. </t>
  </si>
  <si>
    <t>Обрачун по м³  са потребном металном оплатом  и челичним подупирачима.</t>
  </si>
  <si>
    <t>Набавка материјала, транспорт и бетонирање зидова дебљине дз=16 цм, армираним бетоном МБ 30 (С25/30), са остављањем потребних анкера и отвора.</t>
  </si>
  <si>
    <t xml:space="preserve">Набавка материјала, транспорт и бетонирање зидова дебљине дз=25 цм, армираним бетоном МБ 30 (С25/30), са остављањем потребних анкера и отвора. </t>
  </si>
  <si>
    <t>коса степенишна плоча дп=15 цм</t>
  </si>
  <si>
    <t>плоча степенишних подеста дп=15 цм</t>
  </si>
  <si>
    <t>Дебљина зида дз=20 цм.</t>
  </si>
  <si>
    <t>Зидање је по систему перо-жљеб, у продужном малтеру размере 1:2:6.</t>
  </si>
  <si>
    <t>Дебљина зида дз=25 цм.</t>
  </si>
  <si>
    <t>Набавка материјала, транспорт и зидање фасадних зидова клима блоком димензија 380/200/238 мм.</t>
  </si>
  <si>
    <t>Набавка материјала, транспорт и зидање фасадних зидова клима блоком димензија 380/250/238 мм.</t>
  </si>
  <si>
    <t>Набавка материјала, транспорт и зидање зидова гитер блоком димензија 250/190/190 мм.</t>
  </si>
  <si>
    <t xml:space="preserve">Зидање је у продужном малтеру размере 1:2:6. </t>
  </si>
  <si>
    <t>укупно Пос 4.3.</t>
  </si>
  <si>
    <t>Набавка материјала, транспорт и зидање зидова дебљине дз=12, пуном опеком у продужном малтеру размере 1:2:6</t>
  </si>
  <si>
    <t>Набавка материјала, транспорт и уградња неармираног бетона МБ 20, дебљине д=10 цм.</t>
  </si>
  <si>
    <t>Бетон се лије као подлога за хидроизолацију подних плоча (под ПТП).</t>
  </si>
  <si>
    <t xml:space="preserve">Плоча је армирана синтетичким влакнима на бази пропилена (фибер влакна). </t>
  </si>
  <si>
    <t>Дозирање влакана је према спецификацији произвођача.</t>
  </si>
  <si>
    <t>Горњу површину бетона фино испердашити и припремити за израду хидроизолације.</t>
  </si>
  <si>
    <t xml:space="preserve">Бетон је водонепропусни V-6. </t>
  </si>
  <si>
    <t>фасадне греде</t>
  </si>
  <si>
    <t>=1,25*3,01*4</t>
  </si>
  <si>
    <t>=3,12*1,45*2*4</t>
  </si>
  <si>
    <t>плоче тераса</t>
  </si>
  <si>
    <t>Набавка материјала, транспорт и бетонирање плоча, дебљине дп=15 цм, армираним бетоном МБ 30 (С25/30), са остављањем анкера и отвора.</t>
  </si>
  <si>
    <t>Серклаже извести бетоном МБ 20, димензије серклажа 12/20 цм, арматура ± 2 Ø 10 мм, узенгије Ø 8/25.</t>
  </si>
  <si>
    <t>Набавка, транспорт и монтажа вентилационих канала.</t>
  </si>
  <si>
    <t>Вентилациони систем је типа "Schiedel" LS 2 или одговарајуће, са једним секундарним и једним примарним каналом.</t>
  </si>
  <si>
    <t>Елементи су израђени од лаког бетона, димензије елеменатасу 25/38,5/33 цм, дебљина спољних зидова канала је 2,5 цм.</t>
  </si>
  <si>
    <t>Примарни канал је П=400 цм², секундарни канал је П=240 цм².</t>
  </si>
  <si>
    <t>Уз вентилационе елементе испоручити и уградити све припадајуће фазонске елементе: вентилационе решетке и покривне розете од поцинкованог бојеног лима, а у свему према спецификацији произвођача.</t>
  </si>
  <si>
    <t>Вентилациони систем мора да поседује декларацију о својствима СРПС ЕН 771-3:2012 стандард.</t>
  </si>
  <si>
    <t>Набавка материјала, транспорт и облагање зидова купатила, плочама поробетона (типа Итонг или одговарајуће).</t>
  </si>
  <si>
    <t>Плоче су димензија 625/250 мм, д=75 мм, са коефицијент топлотне проводљивости λ≤0,12 W/mK.</t>
  </si>
  <si>
    <t>Плоче се лепе за зидове од армираног бетона и гитер блока, одговарајућим лепком, у свему према спцификацији и упутству произвођача.</t>
  </si>
  <si>
    <t>зидови УЗТ 1*, УЗТ 1**, УЗТ 3*, СЗ 2**</t>
  </si>
  <si>
    <t>Набавка материјала, транспорт и обзиђивање вентилационих канала, плочама поробетона (типа Итонг или одговарајуће).</t>
  </si>
  <si>
    <t>Плоче се зидају у танкослојном малтеру, у свему према спцификацији и упутству произвођача.</t>
  </si>
  <si>
    <t>Плоче треба да су отпорне на пожар у трајању од 90 минута.</t>
  </si>
  <si>
    <t>Извођач радова треба да приложи сертификат за горивост, издат од стране акредитованог тела.</t>
  </si>
  <si>
    <t>укупно Пос 4.8.</t>
  </si>
  <si>
    <t>=2,77*((0,72+0,37)*4+0,95+(0,59*0,37)*4+(0,8+0,42)*2+(0,65+0,37)*4+1,05*2)</t>
  </si>
  <si>
    <t>=2,77*((0,72+0,37)*5+0,95+(0,59*0,37)*4+(0,8+0,42)*2+(0,65+0,37)*5+1,05*2)</t>
  </si>
  <si>
    <t>=2,77*(1,65*2+1,4*2+1,4+1,65+1,4*4)</t>
  </si>
  <si>
    <t>=2,77*(1,65*2+1,4*2+1,4*2+1,65+1,4*4)</t>
  </si>
  <si>
    <t>=0,6*(1,65*5+1,78*2)</t>
  </si>
  <si>
    <t>=0,6*(1,65*6+1,78*2)</t>
  </si>
  <si>
    <t>Блокови су димензија 625/250 мм, д=150 мм.</t>
  </si>
  <si>
    <t>Зидају се у танкослојном малтеру, у свему према спцификацији и упутству произвођача.</t>
  </si>
  <si>
    <t>Блокови су отпорни на пожар у трајању од 180 минута.</t>
  </si>
  <si>
    <t>=2,4*2,56-2,4*0,7</t>
  </si>
  <si>
    <t>Набавка материјала, транспорт и обзиђивање вентилационих канала у тавану и изнад крова, пуном опеком д=12 цм, у продужном малтеру размере 1:2:6.</t>
  </si>
  <si>
    <t>Истовремено са зидањем  бетонирати хоризонталне армирано бетонске серклаже, на половини висине и на завршетку обзида.</t>
  </si>
  <si>
    <t>Серклаже извести бетоном МБ 20, димензије серклажа 12/20 цм, арматура ± 2 Ø 8 мм, узенгије Ø 6/25.</t>
  </si>
  <si>
    <t>Обрачун по м² изведеног обзида са израдом серклажа, арматуром и оплатом.</t>
  </si>
  <si>
    <t>=2,58*(0,76*4+0,53*2+1,14*2+0,53*2+0,89*10+0,59*10+0,84*2+0,66*2+0,81*10+0,53*10+0,77*4+0,66*4+1,29*2+1,19*2+0,53*4)</t>
  </si>
  <si>
    <t>Набавка материјала, транспорт, израда и уградња елемената на завршетку вентилационих канала, изнад крова.</t>
  </si>
  <si>
    <t>Канали се завршавају бетонском плочом, са горњом површином у паду, у свему према детаљу.</t>
  </si>
  <si>
    <t>Обрачун по комаду уграђених завршних капа.</t>
  </si>
  <si>
    <t>димензије капе 63/86, 63/130, 65/90, 63/140, 63/120, 77/88, 70/100цм</t>
  </si>
  <si>
    <t xml:space="preserve">Набавка материјала, транспорт и израда цементне кошуљице размере 1:3, која се лије као подлога за подове. </t>
  </si>
  <si>
    <t>цементна кошуљица д=5 цм</t>
  </si>
  <si>
    <t>подлога у поду МКС 4</t>
  </si>
  <si>
    <t>цементна кошуљица д=4 цм</t>
  </si>
  <si>
    <t>подлога у подовима П ТП, МКС П</t>
  </si>
  <si>
    <t>4.13.3.</t>
  </si>
  <si>
    <t>цементна кошуљица у паду д=3-4,5 цм</t>
  </si>
  <si>
    <t>подлога у поду ТЕ</t>
  </si>
  <si>
    <t>=3,51*5+4,1+4,22</t>
  </si>
  <si>
    <t>Дилатационе спојнице се постављају на мах 25 м².</t>
  </si>
  <si>
    <t>У просторијама где се полаже паркет, естрих мора да буде осушен до 3%.</t>
  </si>
  <si>
    <t>подлога за керамику у подовима КИН 3, КИН 6, КИН 7, МКС 3</t>
  </si>
  <si>
    <t>подлога у поду КИН 2</t>
  </si>
  <si>
    <t xml:space="preserve">подлога у поду КИН 5, МКС 2 </t>
  </si>
  <si>
    <t>=4,63+4,17+4,28+6,14+5,04+4,48+4,29</t>
  </si>
  <si>
    <t>=4,12+4,36+4,15+5,11+2,04+5,05+1,49+4,0*2</t>
  </si>
  <si>
    <t>Набавка материјала, транспорт и малтерисање унутрашњих зидова и плафона продужним малтером, размере 1:3:9, у два слоја. Први слој дебљине д=1,5 цм радити од грубог, несејаног малтера, а други слој од просејаног малтера дебљине д=0,5 цм.</t>
  </si>
  <si>
    <t>Обрачун по м² омалтерисане површине, са свим потребним предрадњама, материјалом и радном скелом.</t>
  </si>
  <si>
    <t>укупно Пос 4.16.</t>
  </si>
  <si>
    <t>Набавка материјала, транспорт и малтерисање зида СЗ5, од поробетона, танкослојним малтером.</t>
  </si>
  <si>
    <t xml:space="preserve">Пре малтерисања, површину зида припремити , нанети подлогу , па готову смесу малтера, у дебљини од 3-6 мм, у свему према спецификавији и упутству произвођача. </t>
  </si>
  <si>
    <t>=4,9+22,64+11,66*2+4,96+4,62+27,77+11,72+11,69+9,86+1,55+3,35+20,62+9,62+3,25+22,58+10,48+4,58*2+27,37*2+12,64*2+2,74+22,56</t>
  </si>
  <si>
    <t>=5,54+2,04+5,06+1,49+4,0*2+4,12*2+4,02</t>
  </si>
  <si>
    <t>малтерисање плафона</t>
  </si>
  <si>
    <t>=2,77*(8,9+19,21+9,84+13,86+13,85+10,25+9,83+19,27+9,23+10,26+14,4+12,78+5,1+10,08+22,17+8,72+13,25+7,4+15,68+10,51+10,34*2+23,97*2+8,83*2+15,17*2+4,04+19,95+6,54+13,54+13,75+4,04)-((1,8*1,6+0,9*2,5)*6+1,5*2,35*2+1,5*2,05*2-3,0*10)</t>
  </si>
  <si>
    <t>Набавка материјала, транспорт и малтерисање унутрашњих зидова преко термоизолације, Q мреже и рабиц плетива, продужним малтером размере 1:3:9, у два слоја.</t>
  </si>
  <si>
    <t>(Q мрежа и рабиц плетиво су обрачунати уз термоизолацију).</t>
  </si>
  <si>
    <t>Први слој дебљине д=1,5 цм радити од грубог, несејаног   малтера, а други слој од просејаног малтера.</t>
  </si>
  <si>
    <t>зидови СЗ 1, СЗ 1*, СЗ 2, СЗ 2*, СЗ 2**, СЗ 3, УЗ Т1, УЗ Т1*, УЗ Т2, УЗ Т3, УЗ Т3*</t>
  </si>
  <si>
    <t>Димензије елемената крова према статичком прорачуну:</t>
  </si>
  <si>
    <t>- рог 10/14 цм, на размаку 60-120 цм</t>
  </si>
  <si>
    <t>- стуб 14/14 цм</t>
  </si>
  <si>
    <t>- кљешта 2х5/14 цм</t>
  </si>
  <si>
    <t>Урадити све прописане тесарске везе кровних елемената и ојачања од флах гвожђа, котви, завртњева, кламфи и слично.</t>
  </si>
  <si>
    <t xml:space="preserve">Све елементе кровне конструкције заштитити против влаге и инсеката, одговарајућим премазом, по избору пројектанта. </t>
  </si>
  <si>
    <t>Преко оплате поставити један слој битуменске лепенке, са преклопима од 10 цм, у оба правца. ОСБ плоче и битуменска лепенка се постављају као подлога за кровни покривач од лима.</t>
  </si>
  <si>
    <t>Обрачун по м² постављене опшивке и битуменске лепенке, мерено по косини крова.</t>
  </si>
  <si>
    <t>Изолацију уз обимне зидове, преко холкела, подићи за 20 цм, а иза када до висине од 180 цм, што је саставни део позиције.</t>
  </si>
  <si>
    <t>=3,51*4+4,1+4,2+0,3*(8,27*4+8,0+8,27)</t>
  </si>
  <si>
    <t>=3,51*6+4,1+4,2+0,3*(8,27*6+8,0+8,27)</t>
  </si>
  <si>
    <t>Набавка материјала, транспорт и израда термоизолације фасадних зидова у систему контактне фасаде са каменом вуном – "Bekatherm prestige" или одговарајуће.</t>
  </si>
  <si>
    <t>ЕТА сертификовани фасадни система контактне фасаде (ETIKS), са завршном обрадом класе реакције на пожар А2с1д0. обухвата следеће позиције:</t>
  </si>
  <si>
    <t xml:space="preserve">Камена вуна типа као "FKD-S Thermal" Кнауф или одговарајући, мора бити произведена у складу са стандардом СРПС ЕН 13162, густине 110 kg /m³, топлотне проводљивости λ≤0,035 W/мК. </t>
  </si>
  <si>
    <t>Плоче се постављају равно и тесно приљубљене и повезане уздужном изменичном везом. Код постављања плоча, препусти плоча морају бити минимално 25 цм.</t>
  </si>
  <si>
    <t xml:space="preserve">Због допуштених одступања у мерама изолацијског материјала, фуге ширине од 2 до 4 мм (HUPFAS) морају се испунити истим изолацијским материјалом, а фуге мање од наведених одступања, одговарајућом пеном која је прописана од произвођача реакција на пожар класе „А1“.  </t>
  </si>
  <si>
    <t>За смањивање могућности појаве хладних мостова, лепак не сме бити у фугама. Код отвора, плоче се морају тако поставити да се фуга код спојева плоча не наставља на ивицу отвора.</t>
  </si>
  <si>
    <t>Наношење лепка на камену вуну :</t>
  </si>
  <si>
    <t>Лепак за лепљење и армирање камене вуне "BK Stirolfix Specijal" или одговарајући, се наноси ручно или машински, тако да површина која је лепљена буде покривена са најмање 40%. Лепак треба да буде испитан према ETAG-u 004.</t>
  </si>
  <si>
    <t>Овај слој мора бити негорив, карактеристика реакције материјала на пожар класе „А1“ према СРПС ЕН 13501-1.</t>
  </si>
  <si>
    <t xml:space="preserve">Типловање се врши са минимално 6 типлова /м².  Број типлова одредити према висини објекта и оптерећења од ветра на фасаду и доставити прорачун на увид. На ивицама објекта повећати број типлова. </t>
  </si>
  <si>
    <t xml:space="preserve">Дужина типлова по препоруци  произвођача, према дебљини плоча камене вуне, уз доказ носивости.  Предвидети утапајући типл "S" са пластичним телом и челичним ексером. </t>
  </si>
  <si>
    <t>Армирајући слој са стакленом мрежицом:</t>
  </si>
  <si>
    <t>Два до три дана након лепљена камене вуне, наноси се "BK Stirolfix Specijal" или одговарајући системски лепак и маса за армирање, и то зупчастим глетером величине зуба 10 – 12 мм. Армирани слој мора имати дебљину 5 мм.</t>
  </si>
  <si>
    <t>У свежу масу за армирање се поставља стаклена мрежица за армирање, вертикално са преклопима најмање 10 цм. Стаклена мрежица "BK Mrežica 160"  или одговарајућа.</t>
  </si>
  <si>
    <t>Након 24 сата се наноси завршни - изравнавајући масе за  армирање у дебљини од 1 до 2 мм. Арматурна мрежица треба да буде у спољној  трећини армирајућег слоја.</t>
  </si>
  <si>
    <t xml:space="preserve">Потребно је извршити претпремаз за пастозне завршне малтере на основним малтерима и масама за изравњавање БК Грунд Силицат или еквивалентно, у боји фасаде. </t>
  </si>
  <si>
    <t>Минимална дебљина завршног слоја код пуне структуре је 1,5 мм.</t>
  </si>
  <si>
    <t>Силикатни, водоодбојни, паропропусни структурисани завршни малтер "BK S-Plast", или  одговарајући завршни малтер, отпоран на временске утицаје за фасаде на TIS  и основним малтерима, паропропусности μ око 60 према ЕN 1015-19,  водоупојности &lt; 0,1 кг / м² х0,5 према ЕН 1015-18.</t>
  </si>
  <si>
    <t>Подлога мора бити сува, носива и без нечистоћа. Минимално 1 дан пре наношења завршног малтера,  подлогу добро премазати предпремазом.</t>
  </si>
  <si>
    <t xml:space="preserve">Израда фуга и рубова ПВЦ или АЛ лајснама, према препоруци произвођача система: угаоне лајсне са мрежицом, окапне лајсне, шпалетна лајсна за спој малтера и прозора, врата и сличнох елемената, са трајном заштитом од  удара кише -  производи "BK" или одговарајући. </t>
  </si>
  <si>
    <t xml:space="preserve">Све прикључне и закључне лајсне се постављају тако да дугорочно спрече продор кише. </t>
  </si>
  <si>
    <t>Обрачун по м² изведене термоизолације.</t>
  </si>
  <si>
    <t>камена минерална вуна д=12 цм</t>
  </si>
  <si>
    <t>ФЗ 1, ФЗ 1*, ФЗ 2, ФЗ 2*, ФЗ 3, ФЗ 4</t>
  </si>
  <si>
    <t>камена минерална вуна д=8 цм</t>
  </si>
  <si>
    <t>фасадни зид ФЗ 1**</t>
  </si>
  <si>
    <t>камена минерална вуна д=5 цм</t>
  </si>
  <si>
    <t>бочни зидови тераса - лођа</t>
  </si>
  <si>
    <t>Набавка материјала, транспорт и израда термоизолације фасадних зидова, у зони сокле.</t>
  </si>
  <si>
    <t>Термоизолација сокле објекта, до висине од 50 цм од коте тротоара је екструдирани полистирен д=8 cm, са завршном обрадом  декоративним малтером типа "BK Kul" или одговарајући.</t>
  </si>
  <si>
    <t>Подлога мора бити сува, носива и  без нечистоћа. Минимално 1 дан пре наношења завршног малтера, подлогу добро премазати предпремазом.</t>
  </si>
  <si>
    <t>Систем обухвата следеће позиције: наношење лепка на плоче од XPS-а, формирање армирајућег слој са стакленом мрежицом, претпремаз за пастозне завршне малтере на основним малтерима и масама за изравнање "BK Acryl" или одговарајуће,  (најсветлијег зрна мозаичног  малтера) и завршни декоративни малтер.</t>
  </si>
  <si>
    <t>Набавка материјала, транспорт и израда термоизолације унутрашњих  зидова, плочама камене минералне вуне.</t>
  </si>
  <si>
    <t>Преко термоизолације поставити Q мрежу, која се брковима од поцинковане жице фиксира за зид, па преко ње везати рабиц мрежу.</t>
  </si>
  <si>
    <t>Обрачун по м² изведене термоизолације, са Q мрежом и рабиц плетивом.</t>
  </si>
  <si>
    <t>термоизолација зидова према негрејаном простору</t>
  </si>
  <si>
    <t>зидови СЗ 1, СЗ 1*, СЗ2, СЗ 2*, СЗ 2**, СЗ 3</t>
  </si>
  <si>
    <t>камена минерална вуна д=4 цм</t>
  </si>
  <si>
    <t>термоизолација зидова између станова</t>
  </si>
  <si>
    <t>зидови УЗТ 1, УЗТ 1*, УЗТ 2, УЗТ 3, УЗТ 3*</t>
  </si>
  <si>
    <t>Набавка материјала, транспорт и израда термоизолације зидова стана према лифту.</t>
  </si>
  <si>
    <t>Изолација је од плоча камене минералне вуне су са коефицијентом топлотне проводљивости λ≤0,037W /mK,  дебљне д=8 цм, према прорачуну грађевинске физике.</t>
  </si>
  <si>
    <t>Изолација је типа "Knauf Insulation", Natur Board FIT-G PLUS или одговарајуће. Поставља се преко бетонског зида, у оквиру потконструкције гипсане облоге..</t>
  </si>
  <si>
    <t>Преко камене минералне вуне, према стану, поставити алуминијумску фолију.</t>
  </si>
  <si>
    <t>Обрачун по м² изведене термоизолације, са алуминијумском фолијом..</t>
  </si>
  <si>
    <t>термоизолација зидова СЗ 2***, СЗ 4</t>
  </si>
  <si>
    <t>=2,77*(2,69+1,6)</t>
  </si>
  <si>
    <t xml:space="preserve">Преко термоизолације, према спуштеном плафону, поставити паропропусну водонепропусну фолију. </t>
  </si>
  <si>
    <t>Термоизолација се поставља у оквиру потконструкције спуштеног плафона. Плоче камене вуне лепити за армирано бетонску међуспратну конструкцију, и додатно фиксирати типловима.</t>
  </si>
  <si>
    <t>Уграђена изолација мора имати термичке и механичке особине, прописане елаборатом грађевинске физике.</t>
  </si>
  <si>
    <t>Обрачун по м² изведене изолације.</t>
  </si>
  <si>
    <t>термоизолација еркера Е 1</t>
  </si>
  <si>
    <t>=3,12*5,77+3,08*0,85</t>
  </si>
  <si>
    <t>Набавка материјала, транспорт и израда термо и звучне изолације у подним сендвичима.</t>
  </si>
  <si>
    <t>Изолација се поставља преко армирано бетонске плоче а састоји се из следећих слојева:</t>
  </si>
  <si>
    <t>- фолија од полиетиленске пене за пригушење буке типа "Термосајлент" или одговарајуће</t>
  </si>
  <si>
    <t>- екструдирани полистирен, са коефицијентом топлотне проводљивости λ≤0,035 W/mK</t>
  </si>
  <si>
    <t>- ПВЦ фолија</t>
  </si>
  <si>
    <t>По ободу просторија поставити траке фолије од полиетиленске пене, како би под био пливајући.</t>
  </si>
  <si>
    <t>- термосајлент д=1 цм</t>
  </si>
  <si>
    <t>- екструдирани полистирен д=2 цм</t>
  </si>
  <si>
    <t>6.10.2.</t>
  </si>
  <si>
    <t>под са ознаком МКС 4</t>
  </si>
  <si>
    <t>- екструдирани полистирен д=3 цм</t>
  </si>
  <si>
    <t>Набавка материјала, транспорт и израда термоизолације конструкције испод негрејаног таванског простора.</t>
  </si>
  <si>
    <t>Изолација се поставља преко армирано-бетонске плоче, а састоји се из следећих слојева:</t>
  </si>
  <si>
    <t>- камена минерална вуна дебљине д=14 цм, типа "KnaufInsulation NaturBoard FIT" или одговарајуће</t>
  </si>
  <si>
    <t>- паропропусна водонепропусна фолија д=0,02 цм</t>
  </si>
  <si>
    <t>термоизолација таваница Т 1, Т 2, Т 2*</t>
  </si>
  <si>
    <t>- екструдирани полистирен дебљине д=10 цм, са коефицијентом топлотне проводљивости λ≤0,038 W/mK</t>
  </si>
  <si>
    <t xml:space="preserve">Термоизолација су плоче камене минералне вуна дебљине д=10 цм, произведене у складу са стандардом EN 13162, типа као "Knauf Insulation NaturBoard FIT-G PLUS" или одговарајуће, са коефицијентом топлотне проводљивости λ≤0,037 W/mK.  </t>
  </si>
  <si>
    <t>термоизолација конструкције изнад негрејаног простора КИН 1, КИН 2, КИН 3</t>
  </si>
  <si>
    <t>=4,15+4,28+3,13+11,36+10,16+1,02+1,46</t>
  </si>
  <si>
    <t>Набавка материјала, транспорт и израда термоизолационог слоја у поду терасе, ознака ТЕ.</t>
  </si>
  <si>
    <t>Изолација је екструдирани полистирен, поставља се преко армирано бетонске плоче.</t>
  </si>
  <si>
    <t>изолација пода П ТП</t>
  </si>
  <si>
    <t>Набавка материјала, транспорт и облагање зидова, преко термоизолације, гипс картонским плочама дебљине д=2х12,5 мм.</t>
  </si>
  <si>
    <t>Плоче се фиксирају преко хоризонталних и вертикалних зодних профила.</t>
  </si>
  <si>
    <t>На профиле се лепе траке за звучну изолацију.</t>
  </si>
  <si>
    <t>Зидови влажних просторија се облажу влагоотпорним плочама.</t>
  </si>
  <si>
    <t>Спољни углови се штите алуминјумском угаоном заштитном шином и траком.</t>
  </si>
  <si>
    <t>Спојеви плоча се испуњавају, бандажирају траком и глетују.</t>
  </si>
  <si>
    <t>Обрачун по м² обухвата испоруку и монтажу плоча и потконструкције, испуњавање спојница смесом за спојнице, завршне лајсне, а у свему према спецификацији произвођача.</t>
  </si>
  <si>
    <t>7.1.1.</t>
  </si>
  <si>
    <t>7.1.2.</t>
  </si>
  <si>
    <t>Набавка материјала, транспорт и уградња спуштених плафона од монолитних гипс картонских плоча, дебљине д=12,5 мм, који се фиксирају преко металне потконструкције, са штелујућим вешаљкама, а према спецификацији произвођача.</t>
  </si>
  <si>
    <t>У санитарним чворовима, плафоне радити од влагоотпорних гипс картонских плоча д=12,5 мм.</t>
  </si>
  <si>
    <t>Висина спуштања плафона према графичкој документацији.</t>
  </si>
  <si>
    <t>Обрачун по м² обухвата испоруку и монтажу плоча и потконструкције, испуњавање спојница смесом за спојнице, бушење отвора за расвету, завршне лајсне, а у свему према спецификацији произвођача, као и радну скелу.</t>
  </si>
  <si>
    <t>7.2.1.</t>
  </si>
  <si>
    <t>плафон од гипс картонских плоча, спуштање 26 цм</t>
  </si>
  <si>
    <t>МКС 4, Т 2*</t>
  </si>
  <si>
    <t>7.2.2.</t>
  </si>
  <si>
    <t>плафон од гипс картонских плоча, спуштање 16 цм</t>
  </si>
  <si>
    <t>КИН 1, КИН 3</t>
  </si>
  <si>
    <t>7.2.3.</t>
  </si>
  <si>
    <t>Набавка материјала, транспорт и израда спуштеног плафона еркера.</t>
  </si>
  <si>
    <t>Плафон је водоотпорна плоча од портланд цемента и експандиране глине, обострано ојачана мрежом од стаклених влакана, за спољашњу употребу, дебљине д=12,5 мм (типа као "Knauf Aquapanel outdoor" плоча или одговарајуће).</t>
  </si>
  <si>
    <t>Фиксира се преко металне потконструкције, са штелујућим вешаљкама, а према спецификацији произвођача.</t>
  </si>
  <si>
    <t>8. Извођачке детаље доставити пројектанту на сагласност, усваја их Пројектант, уз сагласност Инвеститора.</t>
  </si>
  <si>
    <t>Набавка, транспорт и уградња унутрашњих једнокрилних врата.</t>
  </si>
  <si>
    <t>унутрашња једнокрилна клизна врата</t>
  </si>
  <si>
    <t>Набавка, транспорт и уградња унутрашњих једнокрилних клизних врата.</t>
  </si>
  <si>
    <t>Прагове после постављања, хобловати и лакирати паркет лаком.</t>
  </si>
  <si>
    <t>Мере узети на лицу места.</t>
  </si>
  <si>
    <t>Обрачун по комаду уграђених и финално обрађених прагова.</t>
  </si>
  <si>
    <t>облагање зидова влагоотпорним гипс картонским плочама д=2х12,5 мм,                     СЗ 2***</t>
  </si>
  <si>
    <t>облагање зидова гипс картонским плочама д=2х12,5 мм, СЗ 4</t>
  </si>
  <si>
    <t>укупно Пос 7.1.1.</t>
  </si>
  <si>
    <t>=2,67*2,69</t>
  </si>
  <si>
    <t>=2,67*2,69*3</t>
  </si>
  <si>
    <t>=2,67*1,6</t>
  </si>
  <si>
    <t>=2,67*1,6*3</t>
  </si>
  <si>
    <t xml:space="preserve">Хидроизолациoни малтер ојачанан влакнима "Sikalastic 1K" или одговарајуће. </t>
  </si>
  <si>
    <t xml:space="preserve">Наноси се преко изведеног слоја за пад, на чисту подлогу, прописане влажности. </t>
  </si>
  <si>
    <t xml:space="preserve">Хидроизолација се наноси у више слојева, максимално 3 слоја. Све спојеве зидова и плоча извести додатним ојачањем "Sika Seal Tape S" или одговарајућа (ПП мрежица са PVC ојачањем за већа померања). </t>
  </si>
  <si>
    <t xml:space="preserve">Керамика се може директно полагати у лепку типа "SikaCeram 225" или одговарајући. </t>
  </si>
  <si>
    <t>зидарска мера 80/205 цм</t>
  </si>
  <si>
    <t>зидарска мера 90/205 цм</t>
  </si>
  <si>
    <t>ознака 3 у кругу</t>
  </si>
  <si>
    <t>Застакљивање је термоизолационим стаклом 4+16+4мм са  испуном од аргона и нискоемисионим премазом.</t>
  </si>
  <si>
    <t>зидарска мера 180/160цм</t>
  </si>
  <si>
    <t>зидарска мера 100/160цм</t>
  </si>
  <si>
    <t>ознака 3*   у дуплом кругу</t>
  </si>
  <si>
    <t>Оков је системски, са отварањем у складу са сваком појединачном шемом, са одговарајућим сертификатом. </t>
  </si>
  <si>
    <t>Укупан коефицијент за пролаз топлоте мора бити Uw≤1.5W/m²K (доказати прорачуном и приложити доказе).</t>
  </si>
  <si>
    <t>Радити по детаљу произвођача уз сагласност које усваја Пројектант, уз сагласност Инвеститора.</t>
  </si>
  <si>
    <t>преграда са двокрилним  улазним вратима -  на улазу у ветробран, отварање у складу са шемом</t>
  </si>
  <si>
    <t>преграда са двокрилним  улазним вратима -  у ветробрану, отварање у складу са шемом</t>
  </si>
  <si>
    <t>Застакљивање се врши једноструким сигурносним стаклом 3.3.1 или 4.4.1 у зависности од величине стакла.</t>
  </si>
  <si>
    <t xml:space="preserve">Оков је системски, са отварањем у складу са сваком појединачном шемом, са одговарајућим сертификатом.  </t>
  </si>
  <si>
    <t>Oкапница je од алуминијумског, екструдираног, пластифицираног профила, а  унутрашњa подпрозорна даска од полимермера одговарајуће ширине.</t>
  </si>
  <si>
    <t>фасадна стаклена преграда на степенишном простору, отварање у складу са шемом</t>
  </si>
  <si>
    <t>Завршна обрада врата је пластификација у белој боји RAL 9016.</t>
  </si>
  <si>
    <t>Произвођач је дужан да изради радионичке цртеже и да их достави пројектанту на увид.</t>
  </si>
  <si>
    <t>Обрачун по комаду уграђених,  и финално обрађених позиција.</t>
  </si>
  <si>
    <t>пељалице</t>
  </si>
  <si>
    <t>дужине 295цм</t>
  </si>
  <si>
    <t xml:space="preserve">Анкеровање се врши у конструкцију зидова, греда и плоча преко анкер плочица и анкер типлова који се морају монтирати пре постављања фасада и подова. </t>
  </si>
  <si>
    <t>спољне ограда на терасама</t>
  </si>
  <si>
    <t>=2,3*10</t>
  </si>
  <si>
    <t>=0,8*9</t>
  </si>
  <si>
    <t>Испитивање отпорности према пожару треба да је извршено према стандарду SRPS U. Ј1 160 (Технички услови заштите од пожара у грађевинарству- Испитивање отпорности врата и других елемената за затварање отвора у зидовима).</t>
  </si>
  <si>
    <t>зидарска мера 80/80 цм</t>
  </si>
  <si>
    <t>Рукохват је кутијасти профил HOP 70/50/3 флахом везан за вертикални носач 50/50/3 који је на почетку и на крају затворен плочицама 50/50/5  и анкеровано у степенишни крак завртњима.</t>
  </si>
  <si>
    <t>Ограда у степеништу  у свему према шемама у графичкој документацији и горе наведеном опису. Висине ограда на степеништима је 110 cm .</t>
  </si>
  <si>
    <t>Произвођач је дужан да дефинише начин уградње радионичким цртежом и достави атест за ватроотпорност према СРПС-У У.Ј1.160.</t>
  </si>
  <si>
    <t>Радити по детаљу произвођача уз сагласност Наручиоца и Пројектанта.</t>
  </si>
  <si>
    <t>Обрачун по комаду уграђене и финално обрађене позиције.</t>
  </si>
  <si>
    <t>ПП врата на електроорманима</t>
  </si>
  <si>
    <t>зидарска мера 260/70 цм</t>
  </si>
  <si>
    <t xml:space="preserve">трокрилна ПП врата на електроормару </t>
  </si>
  <si>
    <t>10.15.</t>
  </si>
  <si>
    <t>кров K1 и К2</t>
  </si>
  <si>
    <t>5.4.</t>
  </si>
  <si>
    <t>сокла од керамике х=10 цм комуникације</t>
  </si>
  <si>
    <t>сокла од керамике х=10 цм               кухиње</t>
  </si>
  <si>
    <t>сокла од керамике х=10 цм                       тераса и лођа</t>
  </si>
  <si>
    <t>6.5.3.</t>
  </si>
  <si>
    <t>укупно Пос 6.8.</t>
  </si>
  <si>
    <t>Покривање извести у тракама међусобно спојеним дуплим стојећим превојем у правцу пада крова и дуплим лежећим у хоризонталном правцу.</t>
  </si>
  <si>
    <t>Покривање крова извести са свим фазонским елементима за опшивање, типским елементима за вентилацију крова и опшивањем продора кроз кров и сл, што је саставни део позиције.</t>
  </si>
  <si>
    <t>Пластификација у боји по избору пројектанта.</t>
  </si>
  <si>
    <t>Обрачун по м², мерено по косини крова.</t>
  </si>
  <si>
    <t>Делове олука спајати нитнама.</t>
  </si>
  <si>
    <t>Држаче олука радити од флаха 25/5 мм, од челичног поцинкованог пластифицираног лима, на размаку од 80 цм и нитовати са предње стране.</t>
  </si>
  <si>
    <t>Спојнице заптити одговарајућим премазом.</t>
  </si>
  <si>
    <t xml:space="preserve">Нитне су у боји олука.  </t>
  </si>
  <si>
    <t>Обрачун по м¹ изведене опшивке.</t>
  </si>
  <si>
    <t>Са горње стране, самплех се подвлачи под кровни покривач, а са доње се  спаја са олуком у виду дуплог контра фалца.</t>
  </si>
  <si>
    <t>Развијена ширина 50 цм.</t>
  </si>
  <si>
    <t xml:space="preserve">Набавка материјала, израда, транспорт и монтажа одводних олучних вертикала, израђених од челичног поцинкованог пластифицираног  лима дебљине д=0,6 мм. </t>
  </si>
  <si>
    <t>Поједине делове олучних цеви увући један у други минимум 50 мм и спојнице заптити одговарајућим премазом.</t>
  </si>
  <si>
    <t>Вертикале су Ø 125 мм, пластифициране у боји по избору пројектанта.</t>
  </si>
  <si>
    <t>На 200 цм од тла је предвиђена гвоздено ливена цев, што је обрачунато у Предмеру у пројекту хидротехничких инсталација.</t>
  </si>
  <si>
    <t>Набавка материјала, израда, транспорт и уградња казанчића на споју хоризонтала и вертикала кишног развода.</t>
  </si>
  <si>
    <t>Израђени су од челичног поцинкованог пластифицираног лима, димензија према детаљу. Пластификација у тону олука.</t>
  </si>
  <si>
    <t>11.4.</t>
  </si>
  <si>
    <t>11.6.</t>
  </si>
  <si>
    <t>11.7.</t>
  </si>
  <si>
    <t>11.8.</t>
  </si>
  <si>
    <t>11.9.</t>
  </si>
  <si>
    <t>11.10.</t>
  </si>
  <si>
    <t>11.11.</t>
  </si>
  <si>
    <t>11.12.</t>
  </si>
  <si>
    <t>11.13.</t>
  </si>
  <si>
    <t>Опшав фиксирати за армирано бетонски зид преко дистанцера, који формирају пад. Испод опшивке поставити кровну лепенку, што је саставни део позиције.</t>
  </si>
  <si>
    <t>Опшав је од челичног поцинкованог пластифицираног лима дебљине                 д= 0,6 мм, са обострано препуштеном окапницом, укупне развијене ширине 40 цм.</t>
  </si>
  <si>
    <t>укупно Пос 12.2.</t>
  </si>
  <si>
    <t>укупно Пос 12.1.2.</t>
  </si>
  <si>
    <t>12.1.3.</t>
  </si>
  <si>
    <t>укупно Пос 12.1.3.</t>
  </si>
  <si>
    <t>=(0,3+0,16)*9*2</t>
  </si>
  <si>
    <t>укупно Пос 13.2.</t>
  </si>
  <si>
    <t>ПОДОПОЛАГАЧКИ РАДОВИ</t>
  </si>
  <si>
    <t>ПОДОПОЛАГАЧКИ РАДОВИ - укупно</t>
  </si>
  <si>
    <t>=0,8*11</t>
  </si>
  <si>
    <t>=1,38*3,12*2+0,97*2,85</t>
  </si>
  <si>
    <t>=1,38*3,12*2*3+0,97*2,85*3</t>
  </si>
  <si>
    <t>=7+8*4</t>
  </si>
  <si>
    <t>Набавка материјала, транспорт и израда тротоара дебљине д=12 цм,  са ивичном гредом димензија 10/25 цм. око објекта.</t>
  </si>
  <si>
    <t xml:space="preserve">Набавка материјала, транспорт и облагање подова подном, првокласном  керамиком домаће производње. </t>
  </si>
  <si>
    <t xml:space="preserve">Керамика се полаже преко готове подлоге, у грађевинском лепку, у слогу фуга на фугу. </t>
  </si>
  <si>
    <t>Фуге су максималне ширине 3 мм, испуњавају се масом за фуговање.</t>
  </si>
  <si>
    <t xml:space="preserve">Сва уграђена подна керамика мора да буде противклизна - Р 11. </t>
  </si>
  <si>
    <t>Димензије керамике према избору пројектанта.</t>
  </si>
  <si>
    <t>Обрачун по м² обложених подова.</t>
  </si>
  <si>
    <t>Набавка материјала, транспорт и постављање подне сокле, висине 10 цм, код подова од керамике.</t>
  </si>
  <si>
    <t>Сокла је израђена од керамике истог квалитета као подна и поставља се у грађевинском лепку, преко омалтерисане површине, а фуге прате фуге на поду и испуњавају се масом за фуговање.</t>
  </si>
  <si>
    <t>Набавка материјала, транспорт и облагање зидова, првокласном, зидном керамиком домаће производње.</t>
  </si>
  <si>
    <t>Слог керамике, димензије и дезен је по избору пројектанта.</t>
  </si>
  <si>
    <t xml:space="preserve">Керамика се поставља на омалтерисане зидове, у грађевинском лепку,  у слогу фуга на фугу, фуга ширине 3 мм. </t>
  </si>
  <si>
    <t>Фуге извести са дистанцерима. По завршеном раду, спојнице фуговати масом за фуговање.</t>
  </si>
  <si>
    <t>На свим истуреним угловима урадити типске алуминијумске заштитнике, што је саставни део позиције.</t>
  </si>
  <si>
    <t>купатила - висина керамике х=240 цм</t>
  </si>
  <si>
    <t>кухиње - висина керамике х=70 цм (облаже се део зида између доњих и горњих кухињских елемената)</t>
  </si>
  <si>
    <t>укупно Пос 13.3.</t>
  </si>
  <si>
    <t>Лајсне су алуминијумске, облика према избору пројектанта, типлују се у подну конструкцију.</t>
  </si>
  <si>
    <t>Обрачун по м¹ уграђених лајсни.</t>
  </si>
  <si>
    <t>=(0,3+0,16)*9*2+(0,15+0,3)*6*2</t>
  </si>
  <si>
    <t>укупно Пос 14.1.1.</t>
  </si>
  <si>
    <t>=0,7*(0,6*4+1,4*2+2,05+2,63+0,6*3+1,83+2,21+1,6*2+0,6*8+1,83*2+2,21*2+1,15+2,06+0,6*2)</t>
  </si>
  <si>
    <t>Набавка материјала, транспорт и бојење зидова и плафона преко омалтерисане површине, полудисперзивном бојом.</t>
  </si>
  <si>
    <t>Пре бојења, зидове и плафоне глетовати до потпуно равне површине, минимум два пута, масом за глетовање.</t>
  </si>
  <si>
    <t>Зидове бојити до потпуно уједначене боје, у тону по избору пројектанта.</t>
  </si>
  <si>
    <t>глетовање и бојење зидова</t>
  </si>
  <si>
    <t>глетовање и бојење плафона</t>
  </si>
  <si>
    <t>глетовање и бојење подгледа степеништа</t>
  </si>
  <si>
    <t>Набавка, транспорт, монтажа и демонтажа фасадне цевасте скеле око објекта.</t>
  </si>
  <si>
    <t>Скелу урадити од прописаних  (статички прорачунатих) елемената, добро их учврстити и уземљити, у свему по важећим прописима и мерама ХТЗ-а.</t>
  </si>
  <si>
    <t>Целу површину скеле покрити ПВЦ засторима.</t>
  </si>
  <si>
    <t>Скелу прима и преко дневника даје дозволу за употребу статичар.</t>
  </si>
  <si>
    <t>По завршетку радова скелу демонтирати.</t>
  </si>
  <si>
    <t xml:space="preserve">Набавка материјала, транспорт и малтерисање делова фасаде у два слоја продужним малтером размере 1:2:6. </t>
  </si>
  <si>
    <t xml:space="preserve">Први слој нанет грубо, други слој фино заглађен. Делове од бетона претходно испрскати цементним млеком. </t>
  </si>
  <si>
    <t>Набавка материјала, транспорт и израда завршног слоја системске фасаде у  тону по избору пројектанта.</t>
  </si>
  <si>
    <t xml:space="preserve">Набавка материјала, транспорт и обрада сокле завршним декоративним мозаичним малтером "BK Kul", или одговарајући. </t>
  </si>
  <si>
    <t>Изводи преко термоизолације од екструдираног полистирена.</t>
  </si>
  <si>
    <t xml:space="preserve">Малтер је акрилни, водоодбојни, паропропусни, отпоран на временске утицаје, изводи се у минималној дебљини од д=1,5 мм.  </t>
  </si>
  <si>
    <t>На аб плочу фиксирати подлогу за олук, израђену од ОСБ плоча, димензија 25/33 цм, поставити је са падом од 0,5 % према олучним хоризонталама.</t>
  </si>
  <si>
    <t xml:space="preserve">Преко ОСБ плоча поставити један слој битуменске лепенке, са преклопима од 10 цм. </t>
  </si>
  <si>
    <t>Обрачун по м² изведене подлоге за олук.</t>
  </si>
  <si>
    <t>Набавка, транспорт и монтажа типских металних сандучића за пошту. Израђени су од челичног лима и лакирани трајно печеним лаком у боји по избору пројектанта.</t>
  </si>
  <si>
    <t xml:space="preserve">Набавка, транспорт и постављање ознаке спрата. Ознаке су димензија 15/5 цм, израђене од плексигласа. </t>
  </si>
  <si>
    <t>Набавка, транспорт и постављање плочица са бројем стана, на улазна врата. Плочице су димензија 5/5 цм, израђене од  плексигласа.</t>
  </si>
  <si>
    <t>Димензије огласне табле су 100/60 цм.</t>
  </si>
  <si>
    <t>Леђа огласне табле су од алуминијумског лима. Врата табле су у алуминијумском раму, застакљена равним провидним стаклом дебљине 4 мм.</t>
  </si>
  <si>
    <t>Врата опремити бравицом са кључевима.</t>
  </si>
  <si>
    <t>Обрачун по м² изведеног пода.</t>
  </si>
  <si>
    <t>Спојнице плоча испунити песком.</t>
  </si>
  <si>
    <t>прагови</t>
  </si>
  <si>
    <t>Набавка, транспорт и уградња лајсни на саставу две врсте пода.</t>
  </si>
  <si>
    <t xml:space="preserve">7. Сви радови изводе се према појединачним описима шема, детаљима и овереним радионичким цртежима. </t>
  </si>
  <si>
    <t>11.5.</t>
  </si>
  <si>
    <t>гранитна керамика д=1цм  на лепку , противклизност Р11; терасе и лође</t>
  </si>
  <si>
    <t>Изолација се поставља испод армирано бетонске плоче на оплати. састоји се из следећих слојева:</t>
  </si>
  <si>
    <t xml:space="preserve">Термоизолација је екструдирани полистирен XPS дебљине 1цм, поставља се преко армирано бетонске плоче терасе. </t>
  </si>
  <si>
    <t>Набавка, транспорт и уградња стандардног, ревизионог плафонског отвора типа Knauf  или одговарајуће, димензија 60/60 цм са прекривеним затварачким системом, елоксирано, са уграђеном облогом од ојачане гипс картонске плоче дебљине д=12,5 мм.</t>
  </si>
  <si>
    <t>Плоче су димензија 40/40/4 цм, полажу се у цементном малтеру размере 1:3, дебљине д=4 цм (преко изведене аб плоче).</t>
  </si>
  <si>
    <t>Обрачун дат по м¹ развијене ширине газишта и чела степеника.</t>
  </si>
  <si>
    <t>=9*2*1,4</t>
  </si>
  <si>
    <t>сокла од керамике х=10 цм на степеништу</t>
  </si>
  <si>
    <t>12.2.3.</t>
  </si>
  <si>
    <t>14.1.1.</t>
  </si>
  <si>
    <t>14.1.2.</t>
  </si>
  <si>
    <t>14.1.3.</t>
  </si>
  <si>
    <t>укупно Пос 15.3.</t>
  </si>
  <si>
    <t>12.1.4.</t>
  </si>
  <si>
    <t>Набавка, транспорт и уградња унутрашњих улазних једнокрилних врата.</t>
  </si>
  <si>
    <t xml:space="preserve">Позиција обухвата сав потребан материјал за уградњу, комплетан оков и све пратеће елементе потребне да би била потпуно исправна и употрeбљива. </t>
  </si>
  <si>
    <t>Произвођач је дужан да дефинише начин уградње радионичким цртежима на које је обавезан да добије сагласност наручиоца и пројектанта.</t>
  </si>
  <si>
    <t>једнокрилна улазна врата, отварање у складу са шемом</t>
  </si>
  <si>
    <t>унутрашња улазна врата</t>
  </si>
  <si>
    <t>Измећу крила и штока поставља се дихтунг профил од неопренске гуме.</t>
  </si>
  <si>
    <t>прагови димензија 100/12/3 цм</t>
  </si>
  <si>
    <t>ознака Р у дуплом квадрату</t>
  </si>
  <si>
    <t>Екструдирани полистирен је дебљине д=10 цм, са коефицијентом топлотне проводљивости λ≤0,035 W/mK</t>
  </si>
  <si>
    <t>6.17.</t>
  </si>
  <si>
    <t>Изолација се поставља преко армирано бетонске плоче.</t>
  </si>
  <si>
    <t>Екструдирани полистирен д=3цм, са коефицијентом топлотне проводљивости λ≤0,035 W/mK</t>
  </si>
  <si>
    <t>коса плоча рампе д=15цм</t>
  </si>
  <si>
    <t>2.19.</t>
  </si>
  <si>
    <t>2.20.</t>
  </si>
  <si>
    <t>2.21.</t>
  </si>
  <si>
    <t>2.24.</t>
  </si>
  <si>
    <t>2.23.</t>
  </si>
  <si>
    <t>2.24.1.</t>
  </si>
  <si>
    <t>2.24.2.</t>
  </si>
  <si>
    <t>- венчаница 14/20 цм</t>
  </si>
  <si>
    <t xml:space="preserve">Термоизолација су плоче камене минералне вуна дебљине д=22 цм, произведене у складу са стандардом EN 13162, типа као "Knauf Insulation NaturBoard Ventacusto" или одговарајуће, са коефицијентом топлотне проводљивости λ≤0,035 W/mK.  </t>
  </si>
  <si>
    <t>подови са ознакама МКС 1, МКС 2, МКС 3 (КИН 1, КИН 2, КИН 3, Е1)</t>
  </si>
  <si>
    <t>1. ПВЦ столарија се изводи од усвојених типских петокоморних профила, са унутрашњим ојачањем од челика, са термичком испуном и прекидом хладног моста, у свему према шеми, детаљима и радионичким цртежима.</t>
  </si>
  <si>
    <t>1. Алуминарија се изводи од усвојених типских алуминијумских профила,  са и  без термичке испуне и прекида хладног моста, у свему према шеми, детаљима и радионичким цртежима које усваја Пројектант, уз сагласност Инвеститора.</t>
  </si>
  <si>
    <t>- пајанта 10/12 цм</t>
  </si>
  <si>
    <t>- рожњачa 14/20 цм</t>
  </si>
  <si>
    <t>3.За веће серије, извођач је дужан да уради прототип или узорке делова елемената.</t>
  </si>
  <si>
    <t>гранитна керамика д=1цм  на лепку , противклизност Р11;   ветробран, ходници (комуникације)</t>
  </si>
  <si>
    <t>Набавка материјала и облагање газишта и чела спољних степеника противклизном гранитном керамиком, која се полаже на додир, у цементном малтеру размере 1:3, у слогу према избору пројектанта. На споју газишта и чела, уградити противклизну алуминијумску лајсну ширине 3-4цм.</t>
  </si>
  <si>
    <t>Набавка транспорт и монтажа огласне табле.</t>
  </si>
  <si>
    <t>4. ПВЦ профили не смеју бити рециклирани и не смеју садржати олово.</t>
  </si>
  <si>
    <t>5. Прозори су делом ослоњени на чврст део фасадног зида (бетонски или зидани зид) и уграђују се на фасаду помоћу челичних L профила,  димензија 60х60х4мм, који се постављају на размаку од 40 цм, по обиму позиције и универзалних металних типлова Ø 10 мм,  намењених за уградњу ПВЦ    столарије у пуној и шупљој грађевинској подлози.</t>
  </si>
  <si>
    <t xml:space="preserve">Понуђач је обавезан да уз понуду достави и атесте/сертификате као доказ да техничке карактеристике понуђеног производа одговарају техничком захтеву.    </t>
  </si>
  <si>
    <t>Обрачун по м² постављеног пода са урачунатим растуром материјала.</t>
  </si>
  <si>
    <t>Набавка, испорука и постављање високо квалитетног вишеслојног готовог паркета I класе дебљине 12,6 мм, Tarkett Klassika hrast  са следећим техничким карактеристикама:</t>
  </si>
  <si>
    <t xml:space="preserve">-укупна дебљина:  12,6 мм                                                        -дебљина горњег слоја:  2,8 мм                                                                    -лак: Classic 5 слојева UV осушен                                                                         -систем закјучавања: T-Lock                                                                                                                                                                                                                           -отпорност на пожар: Dfl-s1 po                       EN 13501-1                                                                                                              -емисија формалдехида: E1 po                  EN 13986                                                       -термичка проводљивост: ≤ 0,110 m²K/W po EN 12664                                                     -отпорност на лом: 3,5 kN po EN 1533      </t>
  </si>
  <si>
    <t>укупно Пос 13.1.</t>
  </si>
  <si>
    <t xml:space="preserve">Сучељавања обавезно геровати. Сав потребан материјал (набавка и транспорт) обезбеђује извођач радова. </t>
  </si>
  <si>
    <t>Обрачун радова по м¹.</t>
  </si>
  <si>
    <t>Уградњу вршити лепљенем комплетне површине обавезно полиуретанским двокомпоментним лепилом типа: Мапеи, Узин, Хенкел, Сика.</t>
  </si>
  <si>
    <t>Остављати експанзионе размаре између препрека(зидова, стубова, керамике...) 1,50мм на 1м ширине пода а не мање од 8 мм. Зид опшити дрвеном фурнираном лајсном димензија 16 x 16 x 2400мм у дезену дрвета - паркета. У цену урачунати и потребан растур максимално 3-5%. Обратити пажњу да се паркет у ходницима увек уграђује по дужини(пружати даске).</t>
  </si>
  <si>
    <t xml:space="preserve">Набавка и постављање профилисане сокле у квалитету и дезену паркета, димензија 60 x 16 мм, на саставу пода и зидова. Лајсне се причвршћују на зид монтажним китовима/одговарајућим лепком. </t>
  </si>
  <si>
    <t>унутрашње степениште,                                       степеници  16,38/30 цм</t>
  </si>
  <si>
    <t xml:space="preserve">Паркет уграђивати на равну, чисту, суву, чврсту подлогу (кошуљицу). Дозвољена влажност кошуљице маx 2%, за подно грејање 1,8% мерено ЦМ методом. Влага ваздуха 30% - 50%, температура више од 18°. Равноћа подлоге: на дужини од 2м разлика у нивоу не сме бити већа од +/- 3мм. </t>
  </si>
  <si>
    <t>8. Извођачке детаље доставити пројектанту на сагласност које              усваја Пројектант, уз сагласност Инвеститора.</t>
  </si>
  <si>
    <t>9.Обавеза извођача  је да уради прототип одабранаог прозора.</t>
  </si>
  <si>
    <t>Набавка материјала, израда, транспорт и монтажа лежећих олука израђених од челичног поцинкованог пластифицираног лима д=0,6 мм (изводе се преко подлоге од ОСБ плоча).</t>
  </si>
  <si>
    <t xml:space="preserve">хидроизолација  тераса </t>
  </si>
  <si>
    <t xml:space="preserve">Радити у свему према статичком прорачуну и детаљима арматуре. </t>
  </si>
  <si>
    <t xml:space="preserve">Набавка материјала и бетонирање армирано бетонске плоче која лежи на тлу,  дебљине д=18 цм бетоном МБ 30 (С25/30). </t>
  </si>
  <si>
    <t>Набавака материјал и уградња лулица са сабирном кутијом за одвод воде са тераса. Лулице Ø 50 mm израдити од равног челичног, поцинкованог, завршно пластифицираног лима.</t>
  </si>
  <si>
    <t>Пре уградње лулица, отвор у зиду премазати хидроизолационим премазом типа полиазбитол или слично два пута и поставити мрежицу.</t>
  </si>
  <si>
    <t>Обрачун по комаду .</t>
  </si>
  <si>
    <t>Набавка материјала, транспорт и обзиђивање када, плочама поробетона (типа Итонг или одговарајуће).</t>
  </si>
  <si>
    <t>Плоче су димензија 625/250 мм, д=75мм.</t>
  </si>
  <si>
    <t>=2,4*2,56</t>
  </si>
  <si>
    <t>=2,4*2,56*3</t>
  </si>
  <si>
    <t>Набавка материјала, транспорт и малтерисање унутрашњих зидова (подлога за лепљење керамике  у купатилима), цементним малтером, размере 1:3 у два слоја. Први слој дебљине д=1,5 цм радити од грубог, несејаног малтера, а други слој од просејаног малтера дебљине д=0,5 цм.</t>
  </si>
  <si>
    <t>=2,77*(4,99+8,36+4,09+8,08+5,76*3+5,75+9,42)</t>
  </si>
  <si>
    <t>=2,77*(4,99+8,36+4,09+8,08+5,76*3+5,75+9,42+4,15)</t>
  </si>
  <si>
    <t>плоче подеста рампе д=15цм</t>
  </si>
  <si>
    <t xml:space="preserve">темељи зидови рампе д=15цм </t>
  </si>
  <si>
    <t xml:space="preserve">темељи  рампе </t>
  </si>
  <si>
    <t>2.23.2.</t>
  </si>
  <si>
    <t xml:space="preserve">темељи зидови степеништа д=15цм </t>
  </si>
  <si>
    <t>темељи  степеништа</t>
  </si>
  <si>
    <t>Обрачун по м², м³ са потребном глатком оплатом, челичним подупирачима и оплатом степеника.</t>
  </si>
  <si>
    <t>Набавка материјала и бетонирање</t>
  </si>
  <si>
    <t>армирано бетонске расхладне јаме</t>
  </si>
  <si>
    <t>остављањем потребних анкера, а у</t>
  </si>
  <si>
    <t>свему према графичкој документацији,</t>
  </si>
  <si>
    <t>статичком прорачуну и детаљима</t>
  </si>
  <si>
    <t xml:space="preserve">арматуре. </t>
  </si>
  <si>
    <t>дп=15 цм, плоча расхладне јаме</t>
  </si>
  <si>
    <t>=1,3*1,3-1,0*1,0</t>
  </si>
  <si>
    <t>дп=15 цм, зидови расхладне јаме</t>
  </si>
  <si>
    <t>=1,1*(6,01+6,02)</t>
  </si>
  <si>
    <t>Бетон се лије као подлога за хидроизолацију плоче расхладне јаме</t>
  </si>
  <si>
    <t>ознака Б у дуплом квадрату</t>
  </si>
  <si>
    <t>жалузина</t>
  </si>
  <si>
    <t>ознака Ж у дуплом квадрату</t>
  </si>
  <si>
    <t>ознака К у осмоуглу</t>
  </si>
  <si>
    <t>ограда висине 110цм, ознака СО у дуплом квадрату</t>
  </si>
  <si>
    <t>Кошуљица је армирана фибер влакнима дозирање према спецификацији произвођача. Кошуљицу глатко испердашити и припремити за израду подова.</t>
  </si>
  <si>
    <t>Обрачун по м² изведене кошуљице са фибер влакнима.</t>
  </si>
  <si>
    <t>хидроизолација санитарних чворова</t>
  </si>
  <si>
    <t>гранитна керамика д=1цм  на лепку , облагање горње површине зиданог дела ограде,  ширине 18цм, мере узети на лицу места</t>
  </si>
  <si>
    <t>Обрачун по м³ са одвозом земље на регистровану депонију, са утоваром и истоваром из возила и грубим планирањем земље на депонији.</t>
  </si>
  <si>
    <t>=0,75*1,75*2,6</t>
  </si>
  <si>
    <t>1.6.</t>
  </si>
  <si>
    <t>Рашчишћавање терена пре почетка грађења са скидањем шибља и корова и ископом површинског слоја хумуса дебљине 30 цм.</t>
  </si>
  <si>
    <t xml:space="preserve">Набавка материјала, транспорт и израда подлоге за подове цементном кошуљицом. </t>
  </si>
  <si>
    <t>Кошуљица се изводи  као пливајући под.</t>
  </si>
  <si>
    <t>Кошуљицу армирати синтетичким влакнима на бази пропилена (фибер влакна).</t>
  </si>
  <si>
    <t>Горњу површину припремити за израду финалних подова. Кошуљица мора да буде равана, чврста и осушена.</t>
  </si>
  <si>
    <t>Обрачун по м² изведене кошуљице, са фибер влакнима и припремом за финалне подове.</t>
  </si>
  <si>
    <t>кошуљица д=5 цм</t>
  </si>
  <si>
    <t>цементна кошуљица у паду, д=4-5 цм</t>
  </si>
  <si>
    <t>Обрачун по м² изведене термоизолације и завршног слоја.</t>
  </si>
  <si>
    <t>цементна кошуљица у паду, д=3,5-5 цм</t>
  </si>
  <si>
    <t>Бетон се лије као подлога за темељне траке и темељне плоче.</t>
  </si>
  <si>
    <t>Обрачун по м²  са потребном оплатом и подупирачима.</t>
  </si>
  <si>
    <t>Обрачун по м³ са свом потребном глаком платом и челичним подупирачима.</t>
  </si>
  <si>
    <t>=2,1*1,1</t>
  </si>
  <si>
    <t>армираним водонепропусним V-6.</t>
  </si>
  <si>
    <t>бетоном МБ 30 (С25/30), са</t>
  </si>
  <si>
    <t>испод  темељне плоче.</t>
  </si>
  <si>
    <t>=3,1*42,9+5,07*6,8+4,2*4,9</t>
  </si>
  <si>
    <t>=0,4*(3,1*42,9+5,07*6,8)</t>
  </si>
  <si>
    <t>=4,47*5,37-1,3*1,3</t>
  </si>
  <si>
    <t>Набавка материјала, транспорт и уградња неармираног бетона МБ 20, у паду д=22-35 цм.</t>
  </si>
  <si>
    <t>Бетон се лије као завршни слој у галерији.</t>
  </si>
  <si>
    <t>Горњу површину бетона фино испердашити.</t>
  </si>
  <si>
    <t>=(0,22+0,35)/2*(10,27+72,7+36,24)</t>
  </si>
  <si>
    <t>бетонирање темељне плоче инсталационе галерије д=12цм</t>
  </si>
  <si>
    <t>бетонирање темељне плоче подстанице ПТП</t>
  </si>
  <si>
    <t>=0,2*(2,12*(8,37+14,75+3,01+9,42+5,57+4,01+41,1+1,95+3,95*4+2,32*2)+1,52*(2,5*2+2,37*2+3,95*2+3,75*2+4,42+1,49)+1,33*(4,47+5,36))</t>
  </si>
  <si>
    <t>=0,16*2,12*(2,6*2+2,51+0,45)</t>
  </si>
  <si>
    <t>=0,16*(15,87*(2,6*2+2,11)+0,45*2*3,04*5)-0,16*1,18*2,4*5</t>
  </si>
  <si>
    <t>Обрачун по м³</t>
  </si>
  <si>
    <t>Набавка материјала, транспорт и бетонирање косих степенишних плоча са истовременом израдом степеника и степенишних подеста, армираним бетоном МБ 30 (С25/30),на улазу у објекат.</t>
  </si>
  <si>
    <t>2.23.1.</t>
  </si>
  <si>
    <t>степеници 15/33 цм</t>
  </si>
  <si>
    <t>=1,1*1,63</t>
  </si>
  <si>
    <t>=0,2*0,25*(1,4*7*5+1,65*2+2,42*2+2,99*2+2,51*2)</t>
  </si>
  <si>
    <t>=0,5*2,32*(2,95*2+5,77*2+5,75*2+5,45*4+2,47*2+5,37)</t>
  </si>
  <si>
    <t>=0,4*3,65*(5,0+6,9)+0,4*1,8*(4,0+11,9+11,73+5,6+38,3+3,35+4,9*5+5,0*4)+0,4*1,15*(4,9+5,0)</t>
  </si>
  <si>
    <t>=3,65*(5,0+6,9)+1,8*(4,0+11,9+11,73+5,6+38,3+3,35+4,9*5+5,0*4)+1,15*(4,9+5,0)</t>
  </si>
  <si>
    <t>=1,55*(1,0*22+1,8*4)</t>
  </si>
  <si>
    <t>=2,69*1,88*2*5</t>
  </si>
  <si>
    <t>Набавка материјала, транспорт и уградња неармираног бетона МБ 20, дебљине д=6 цм.</t>
  </si>
  <si>
    <t>Набавка материјала, транспорт и израда хидроизолације санитарних чворова,  и  тераса- хидроизолација ТИП 4 и 5.</t>
  </si>
  <si>
    <t>гранитна керамика д=1цм  на лепку , облагање пода у лифт кабини</t>
  </si>
  <si>
    <t xml:space="preserve">Набавка материјала, транспорт и облагање парапетног зида терасе, првокласном  керамиком домаће производње. </t>
  </si>
  <si>
    <t>Обрачун по м¹ обложених парапетнох зидова тераса.</t>
  </si>
  <si>
    <t>12.5.</t>
  </si>
  <si>
    <t>=(1,42*2+2,92)*3+1,42*4+(1,42*2+2,92)*4*4+1,42*4*4</t>
  </si>
  <si>
    <t>=4,94+22,64+11,66+11,6+3,97+5,94+26,84+11,38+11,69+9,86+1,42+3,35+20,62+9,62+3,13+22,58+10,48+4,58+27,49+12,64+2,74+22,56+4,58+27,33+12,64</t>
  </si>
  <si>
    <t>=4,58+27,49+12,64+5,15+21,32+11,05+10,16+1,34+4,58+27,08+12,64+3,13+22,68+4,94+22,65+11,66+11,6+3,97+5,02+27,77+11,38+11,69+9,86+1,42+3,35+20,62+9,62+3,13+22,58+10,48</t>
  </si>
  <si>
    <t>=67,74+78,79+42,07+44,36+53,35+33,68+53,19+32,88+52,7+7,46</t>
  </si>
  <si>
    <t>=4,94+22,64+5,78+11,66+11,6+3,97+5,94+26,84+5,03+11,38+11,69+9,86+1,42+3,35+20,62+4,48+3,13+22,58+4,16+10,48+4,58+27,49+4,52+12,64+2,74+22,56+4,36+4,58+27,33+4,52+12,64+2,21+23,7</t>
  </si>
  <si>
    <t>=4,58+27,49+4,53+12,64+5,15+21,32+5,24+11,05+10,16+1,34+4,58+27,08+4,53+12,64+3,13+22,98+4,28+4,94+22,65+5,78+11,66+11,6+3,97+5,02+27,77+5,04+11,38+11,69+9,86+1,42+3,35+20,62+4,48++9,62+3,13+22,58+4,16+10,48</t>
  </si>
  <si>
    <t>2.13.1.</t>
  </si>
  <si>
    <t>2.13.2.</t>
  </si>
  <si>
    <t>укупно Пос 2.13.1.</t>
  </si>
  <si>
    <t>2.22.</t>
  </si>
  <si>
    <t>2.24.3.</t>
  </si>
  <si>
    <t>2.25.</t>
  </si>
  <si>
    <t>2.24.4.</t>
  </si>
  <si>
    <t>2.25.1.</t>
  </si>
  <si>
    <t>2.25.2.</t>
  </si>
  <si>
    <t>2.25.3.</t>
  </si>
  <si>
    <t>2.26.</t>
  </si>
  <si>
    <t>термоизолација конструкције изнад негрејаног простора КИН 4, КИН 5, КИН6, КИН7,  КИН 8, КИН 9</t>
  </si>
  <si>
    <t>=67,74+78,79+42,07+44,36+53,35+33,68+53,19+52,7+7,46</t>
  </si>
  <si>
    <t>=3,51*5+4,06*2</t>
  </si>
  <si>
    <t>=3,51*6+4,06*2</t>
  </si>
  <si>
    <t>Набавка материјала, транспорт и облагање рампе и тротоара вибро пресовани плочама, типа бехатон или одгoварајуће.</t>
  </si>
  <si>
    <t>=0,95*4,53*2</t>
  </si>
  <si>
    <t>плоча подеста дп=15 цм</t>
  </si>
  <si>
    <t>=4,53*6,98</t>
  </si>
  <si>
    <t>=0,4*0,3*(4,53+7,3)</t>
  </si>
  <si>
    <t>=0,4*0,3*(13,64*2+0,9)</t>
  </si>
  <si>
    <t>=0,15*(0,51+1,55)/2*13,51*2+0,15*0,51*0,9</t>
  </si>
  <si>
    <t>=0,15*(0,82+1,2)/2*0,66+0,15*0,8*4,53+0,15*1,2*7,48</t>
  </si>
  <si>
    <t>зидарска мера 100/60цм</t>
  </si>
  <si>
    <t>ознака 5*   у дуплом кругу</t>
  </si>
  <si>
    <t>пењалице</t>
  </si>
  <si>
    <t>метална једнокрилна врата са жалузином</t>
  </si>
  <si>
    <t>зидарска мера 100/100цм</t>
  </si>
  <si>
    <t>Набавка материјала,транспорт, испуна инсталационог канала песком.</t>
  </si>
  <si>
    <t>Песак мора бити чист, без органских примеса.</t>
  </si>
  <si>
    <t>Набавка материјала транспорт испуна испод плоче лифта шљунком.</t>
  </si>
  <si>
    <t xml:space="preserve"> шљунка, на подној плочи галерије,  испод подне плоче лифта д=75 цм</t>
  </si>
  <si>
    <t>вертикале 5/5 цм</t>
  </si>
  <si>
    <t>улазно спољно степениште,                                                      степеници 15/33 цм</t>
  </si>
  <si>
    <t>=8,9+19,21+13,86+13,85+10,25+11,58+22,39+13,79+14,4+12,78+4,84+10,08+22,11+13,25+7,37+19,33+13,2+10,34+24,05+15,17+6,62+23,72+10,34+24,05+15,17</t>
  </si>
  <si>
    <t>=10,34+24,1+15,17+4,63+23,46+13,54+13,75+4,63+10,34+23,97+15,17+7,46+19,38+10,1+23,87+14,4+11,69+4,84+8,9+19,21+13,86+13,85+12,94+4,84+8,81+22,09+13,25+7,34+19,33+13,2</t>
  </si>
  <si>
    <t>=2,67*(8,9+19,21+10,0+13,86+13,85+10,25+11,58+22,39+9,23+13,79+14,4+12,78+4,84+10,08+22,11+8,72+13,25+7,34+19,33+8,57+13,2+10,34+24,05+8,73+15,17+6,62+23,72+8,34+10,34+24,05+8,73+15,17)+3,47*19,58+2,4*(10,73+69,94+10,97)-(1,5*3,3+(1,8*1,6+0,9*2,5)*5+3,0*2,4*3+1,38*2,4*2-3,0*11)</t>
  </si>
  <si>
    <t>=2,67*(10,34+24,1+8,73+15,17+4,63+23,46+9,74+13,54+13,75+4,63+10,34+23,97+8,73+15,17+7,46+19,38+8,54+10,1+23,87+13,81+14,4+11,69+4,84+8,9+19,21+10,0+13,86+13,85+12,94+4,84+8,81+22,09+8,72+13,25+7,34+19,33+8,41+13,2+18,13)+2,4*65,65-(3,01*2,45+(1,8*1,6+0,9*2,5)*6+1,38*2,4*2-3,0*9)</t>
  </si>
  <si>
    <t>=53,35+60,06+52,94+34,24+67,74+78,79+42,07+44,35+49,95</t>
  </si>
  <si>
    <t>=3,51*5+4,06+4,19+0,3*2,7*7</t>
  </si>
  <si>
    <t>=(3,51*5+4,06+4,19)*3+0,3*2,7*7*3</t>
  </si>
  <si>
    <t>=0,3*(20,36+15,15+5,45+1,8+9,66+0,4*2+2,77+14,95+1,8+8,28+13,54)</t>
  </si>
  <si>
    <t>улазно степениште</t>
  </si>
  <si>
    <t>=1,33*(1,3*2+1,0*2)+0,65*(1,3*2+1,0*2)</t>
  </si>
  <si>
    <t>=1,3*1,3*2</t>
  </si>
  <si>
    <t>=36,24-1,3*1,3</t>
  </si>
  <si>
    <t>=0,2*3,01*2,07</t>
  </si>
  <si>
    <t>=0,15*2,6*1,75</t>
  </si>
  <si>
    <t>=0,15*1,42*2,9*(5+6*5)</t>
  </si>
  <si>
    <t>=0,12*(18,71+22,8+49,26+10,83)+0,1*0,25*(4,5+1,4+10,67+9,96+1,4*2+4,5+5,8+7,51+1,44+1,8+2,65+8,2+7,7+5,02+4,5+15,14)</t>
  </si>
  <si>
    <t>=0,25*2,5*5,42</t>
  </si>
  <si>
    <t xml:space="preserve">Набавка материјала и бетонирање армирано бетонске плоче која лежи на тлу,  дебљине д=12 цм бетоном МБ 30 (С25/30). Бетон је водонепропусни V-6. </t>
  </si>
  <si>
    <r>
      <t>Клима блок треба да има коефицијент топлотне проводљивости λ</t>
    </r>
    <r>
      <rPr>
        <sz val="10"/>
        <rFont val="Calibri"/>
        <family val="2"/>
      </rPr>
      <t>≤</t>
    </r>
    <r>
      <rPr>
        <sz val="10"/>
        <rFont val="Arial"/>
        <family val="2"/>
      </rPr>
      <t>0,228 W/mK.</t>
    </r>
  </si>
  <si>
    <r>
      <t>Клима блок треба да има коефицијент топлотне проводљивости λ</t>
    </r>
    <r>
      <rPr>
        <sz val="10"/>
        <rFont val="Calibri"/>
        <family val="2"/>
      </rPr>
      <t>≤</t>
    </r>
    <r>
      <rPr>
        <sz val="10"/>
        <rFont val="Arial"/>
        <family val="2"/>
      </rPr>
      <t>0,201 W/mK.</t>
    </r>
  </si>
  <si>
    <t>=0,3*717,20</t>
  </si>
  <si>
    <t>Широки ископ земље II и III категорије за темеље објекта са свом потребном подградом.</t>
  </si>
  <si>
    <t>Овако утврђену контурну линију објекта обележити на терену привременим обележивачима које треба уклонити тек када су    зидови озидани до висине изнад земље.</t>
  </si>
  <si>
    <t xml:space="preserve">На коти ископа темеља пре почетка извођења тампон слоја од неармираног  бетона потребно је извршити адекватном механизацијом збијање тла. </t>
  </si>
  <si>
    <t>Темељну јаму изнивелисати са дозвољеним одступањем од  ±3 цм.</t>
  </si>
  <si>
    <t>широки ископ се ради до коте горње ивице темеља, у просечној дубини од 199 цм, ископ за темељне траке и темељне плоче се ради од коте широког ископа, до коте полагања неармираног бетона испод темеља објекта у дубини од 50 цм</t>
  </si>
  <si>
    <t>=1,29*146,13+1,32*(18,22+25,94+11,12+34,2*2+24,38+11,07+15,53+34,2*2+36,23*2+18,36+33,73)</t>
  </si>
  <si>
    <t>=1,2*(1070,73-673,75)</t>
  </si>
  <si>
    <t>д=50 цм</t>
  </si>
  <si>
    <t>Набавка материјала и израда тампон слоја туцаника, испод плоче лифта.</t>
  </si>
  <si>
    <t>Туцаник мора бити чист, без органских примеса.</t>
  </si>
  <si>
    <t>=2,4*1,91*2,92</t>
  </si>
  <si>
    <t>испод темељних трака</t>
  </si>
  <si>
    <t xml:space="preserve">д=40 цм, темељна плоча инсталационе галерије </t>
  </si>
  <si>
    <t>д=40цм, темељних трака</t>
  </si>
  <si>
    <t>приземље - поткровље</t>
  </si>
  <si>
    <t>1. спрат</t>
  </si>
  <si>
    <t>2. и 3. спрат</t>
  </si>
  <si>
    <t>поткровље и таван</t>
  </si>
  <si>
    <t>=0,2*2,77*(4,62*2+4,92*2+2,68+2,89+3,41+2,72+9,05+2,72+1,43+6,72+6,52+6,47)-0,20*(1,0*1,6*8+0,92*2,4+1,8*1,6+1,5*2,4)</t>
  </si>
  <si>
    <t>=0,2*2,77*(4,62*2+4,92*2+2,68+2,89+3,41+2,72+9,05+2,72+1,43+6,72+6,52+6,47)-0,20*(1,0*1,6*9+0,92*2,4+1,8*1,6)</t>
  </si>
  <si>
    <t>=2*0,2*2,77*(4,62*2+4,92*2+2,68+2,89+3,41+2,72+9,05+2,72+1,43+6,72+6,52+6,47)-2*0,20*(1,0*1,6*9+0,92*2,4+1,8*1,6)</t>
  </si>
  <si>
    <t>=0,2*(1,99*(3,92+2,4+2,72+1,42+2,72+3,41+2,92+2,62)+(1,99+2,77)/2*(6,72+6,52+6,47)+2,08*12,37/2*2-(1,0*1,0*6+1,0*1,6*4))</t>
  </si>
  <si>
    <t>укупно Пос 2.10.</t>
  </si>
  <si>
    <t>=0,25*(2,77*(5,0+3,37+3,37+3,85+1,5+2,65+1,9+2,55)+(1,99+2,55)/2*(2,3+2,0*2)-(0,8*2,05+0,9*2,05))</t>
  </si>
  <si>
    <t>укупно Пос 2.11.</t>
  </si>
  <si>
    <t>приземље - 3. спрат</t>
  </si>
  <si>
    <t>поткровље</t>
  </si>
  <si>
    <t>у плочи на коти ±0,00</t>
  </si>
  <si>
    <t>=0,12*0,25*(1,5*8+2,9*3+6,55)+0,2*0,45*2,56+0,2*0,4*2,97</t>
  </si>
  <si>
    <t>у плочи на коти +2,95</t>
  </si>
  <si>
    <t>у плочи на коти +5,90 и +8,85</t>
  </si>
  <si>
    <t>у плочи на коти +11,80</t>
  </si>
  <si>
    <t>у плочи на коти +14,75</t>
  </si>
  <si>
    <t>Набавка материјала, транспорт и бетонирање доње плоче лифт окна, дебљине дп=15 цм, армираним бетоном МБ 30 (С25/30), са остављањем анкера и отвора.</t>
  </si>
  <si>
    <t xml:space="preserve">равне плоче </t>
  </si>
  <si>
    <t>Набавка материјала, транспорт и бетонирање парапетног зида (прага) од мршавог бетона МБ 25,  дебљине д=20 цм, испод отвора за излазак на терасу.</t>
  </si>
  <si>
    <t>=0,18*594,66*5-0,18*(3,01*2,51+3,01*3,9)*5+0,18*380,12-0,18*3,01*2,11</t>
  </si>
  <si>
    <t>коса плоча на коти+14,75</t>
  </si>
  <si>
    <t>=0,18*80,01</t>
  </si>
  <si>
    <t>Набавка материјала, транспорт и бетонирање горње плоче лифт окна, дебљине дп=20 цм, армираним бетоном МБ 30 (С25/30), са остављањем анкера и отвора.</t>
  </si>
  <si>
    <t>Набавка материјала, транспорт и бетонирање плоче канала преко слоја песка, дебљине дп=10 цм, армираним бетоном МБ 30 (С25/30), са остављањем анкера и отвора.</t>
  </si>
  <si>
    <t>Обрачун по м³, са потребном оплатом и подупирачима.</t>
  </si>
  <si>
    <t>доња плоча канала дп=18 цм</t>
  </si>
  <si>
    <t>горња плоча канала дп=10 цм</t>
  </si>
  <si>
    <t>зид канала дз=20 цм</t>
  </si>
  <si>
    <t>=0,18*(2,32*(2,95*2+5,77*2+5,75*2+5,45*4+2,47*2+5,37)+11,13)</t>
  </si>
  <si>
    <t>=0,10*(2,32*(2,95*2+5,77*2+5,75*2+5,45*4+2,47*2+5,37)+11,13)</t>
  </si>
  <si>
    <t>=0,2*0,6*(5,45*2+5,75+4,92*2+1,5+5,75+3,07+5,48+2,95+5,75*2+5,45*2)</t>
  </si>
  <si>
    <t>=0,20*0,10*(2,7*6+0,8*2+1,8*2)</t>
  </si>
  <si>
    <t>2.18.1.</t>
  </si>
  <si>
    <t>2.18.2.</t>
  </si>
  <si>
    <t xml:space="preserve">СТАМБЕНИ ОБЈЕКАТ 3.2,  на ГП 3 (КП 12938), град Врање, зона 3
</t>
  </si>
  <si>
    <t>- Материјал из ископа треба одлагати најмање 1 m од ивице ископа, до његовог поновног уграђивања или транспорта на одлагалиште које одреди Надзорни орган.</t>
  </si>
  <si>
    <t>=0,25*(2,7*(5,75+5,32+2,15+3,26+3,38+1,78+2,5+2,95+1,65+2,95+2,15+5,78+2,28+2,33+2,29+1,65)+(2,5+2,7)/2*(6,37+4,22+3,75)+(1,99+2,7)/2*5,75-1,0*2,1*8)</t>
  </si>
  <si>
    <t>=0,25*(2,77*(5,75+5,32+2,15+3,26+3,38+1,78+2,5+2,95+1,65+2,95+2,15+5,78+2,28+2,33+2,29+1,65+6,37+4,22+3,75+5,73)-1,0*2,1*8)</t>
  </si>
  <si>
    <t>=0,25*(2,77*(5,75+5,32+2,15+3,26+3,38+1,78+2,5+2,95+1,65+2,95+2,15+5,78+2,28+2,33+2,29+1,65+6,37+4,22+3,75+5,73+5,375)-1,0*2,1*7)</t>
  </si>
  <si>
    <t>=2*0,25*(2,77*(5,75+5,32+2,15+3,26+3,38+1,78+2,5+2,95+1,65+2,95+2,15+5,78+2,28+2,33+2,29+1,65+6,37+4,22+3,75+5,73)-1,0*2,1*8)</t>
  </si>
  <si>
    <t>=2,77*(4,725+2,475*2+3,68+1,43+0,62+3,14+1,42+0,61+0,65+2,0*2+4,03*2+2,895+0,92+4,17+0,95+1,66+2,82+2,27*2+2,45+2,15*2+2,3*2+0,7+4,07+3,9+2,15+4,57+3,075+2,2+2,375+2,27+0,7+1,75+2,8+1,75+2,32+2,08+3,9+4,57+2,15*2)+1,2*(2,0+2,35+1,1+1,43)-(0,9*2,05*9+0,8*2,05*16)</t>
  </si>
  <si>
    <t>=2,77*(4,725+2,475*2+3,68+1,43+0,62+3,14+1,42+0,61+0,65+2,0*2+4,03*2+2,895+0,92+4,17+0,95+1,66+2,82+2,27*2+2,45+2,15*2+2,3*2+0,7+4,07+3,9+2,15+4,57+3,075+2,2+2,375+2,27+0,7+1,75+2,8+1,75+2,32+2,08+3,9+4,57+2,15*2+2,19+2,36+0,65)+1,2*(2,0+2,35+1,1+1,43)-(0,9*2,05*9+0,8*2,05*18)</t>
  </si>
  <si>
    <t>=2*(2,77*(4,725+2,475*2+3,68+1,43+0,62+3,14+1,42+0,61+0,65+2,0*2+4,03*2+2,895+0,92+4,17+0,95+1,66+2,82+2,27*2+2,45+2,15*2+2,3*2+0,7+4,07+3,9+2,15+4,57+3,075+2,2+2,375+2,27+0,7+1,75+2,8+1,75+2,32+2,08+3,9+4,57+2,15*2+2,19+2,36+0,65)+1,2*(2,0+2,35+1,1+1,43)-(0,9*2,05*9+0,8*2,05*18))</t>
  </si>
  <si>
    <t>=2,77*(2,475*2+1,43*2+1,89*2+0,62+1,42+2,0*2+0,61+0,65+2,895+5,9+1,61+1,65+1,61+1,65+2,2+2,18+0,7+1,75+2,78+2,27*2+3,06+2,2+2,06+2,15*2+2,2+2,18*3+2,0*2+2,45+2,02)+(2,5+2,77)/2*(3,45+2,6+3,52+3,57)+(2,77+1,99)/2*(4,03*2+3,95+3,81)+1,2*(2,0+2,35+1,1+1,43)-(0,9*2,05*9+0,8*2,05*18)</t>
  </si>
  <si>
    <t xml:space="preserve">поткровље </t>
  </si>
  <si>
    <t>=2,77*((0,72+0,37)*5+0,95+(0,59*0,37)*4+(0,8+0,42)*2+(0,65+0,37)*5+1,05*2)*2</t>
  </si>
  <si>
    <t xml:space="preserve">Набавка материјала, транспорт, израда и уградња дрвене конструкције крова, са падом од 38%, на месту баџа 14%. Конструкција је израђена од суве и квалитетне грађе, од четинара  друге класе. </t>
  </si>
  <si>
    <t>- венчаница 10/14 цм</t>
  </si>
  <si>
    <t>- јастук 14/14 цм.</t>
  </si>
  <si>
    <t>Набавка материјала, транспорт и опшивање зидова поткровља ОСБ плочама дебљине д=18 мм. Плоче се фиксирају за рогове.</t>
  </si>
  <si>
    <t>зид са ознаком ФЗП1, ФЗП1*, ФЗП2, ФЗП2*</t>
  </si>
  <si>
    <t>Набавка материјала и израда потконструкције за термоизолацију која се поставља испод лима у зидовима поткровља.</t>
  </si>
  <si>
    <t xml:space="preserve">Потконструкција је израђена од дрвених греда димензија 16/8 цм, од суве и квалитетне грађе, од четинара  друге класе. </t>
  </si>
  <si>
    <t>Радити у свему према пројекту и детаљима</t>
  </si>
  <si>
    <t>Обрачун по м² хоризонталне пројекције уграђене и заштићене потконструкције.</t>
  </si>
  <si>
    <t>5.5.</t>
  </si>
  <si>
    <t>=(0,2+0,2+0,32)*(3,82*2+7,25*2)</t>
  </si>
  <si>
    <t>5.6.</t>
  </si>
  <si>
    <t>Набавка материјала, транспорт и израда дрвене потконструкције испод лименог опшава плоче на коти +14,70.</t>
  </si>
  <si>
    <t>Потконструкција је израђена од летви у паду у свему према графичкој документацији.</t>
  </si>
  <si>
    <t>=2,9*1,4</t>
  </si>
  <si>
    <t xml:space="preserve">- Хидроизолацију извести у свему према упутству произвођача који је у обавези да за примењене   материјале достави атесте и гаранцију трајности. </t>
  </si>
  <si>
    <t>- Извођач радова је у обавези да достави на увид детаље хидроизолације и детаље продора кроз армирано бетонске конструктивне елементе.</t>
  </si>
  <si>
    <t>- Гаранција за уграђене материјале и изведене радове треба да износи минимум 10 година.</t>
  </si>
  <si>
    <t>Набавка материјала, транспорт и израда хидроизолације подне плоче и укопаних зидова расхладне јаме (под П ТП) - хидроизолација ТИП 1.</t>
  </si>
  <si>
    <t>Хидроизолација се изводи преко подлоге од неармираног бетона.</t>
  </si>
  <si>
    <t>Хидроизолација је синтетичка PVC мембранa, UV нестабилна, типа             "Sikaplan WP 1100 - 15HL" или одговарајућа, д= 1,5 мм.</t>
  </si>
  <si>
    <t xml:space="preserve">Поставља се на подлогу- бетонска плочу, преко "Sika" геотекстила, на бази полипропилена (PP) са преклопом од 10 цм .   </t>
  </si>
  <si>
    <t>Мембране се слободно полажу и варе врелим ваздухом. Хидроизолација се линеарно учвршћује на подлогу са пластифицираним лимовима, "Sika PVC лим".</t>
  </si>
  <si>
    <t>Уз ободне зидове хидроизолацију подићи за 30 цм.</t>
  </si>
  <si>
    <t xml:space="preserve">хоризонтална и вертикална хидроизолација </t>
  </si>
  <si>
    <t>Набавка материјала, транспорт и уградња  хидроизолационе синтетичке мембране на бази PVC,  UV нестабилна , дебљине   д= 1,5 мм, тип SIKAPLAN WP 1100-15HL или одговарајуће</t>
  </si>
  <si>
    <t>Пре извођења хидроизолације припремити подлогу механичким путем (водени топ, брусилица или слично) или у наносу новог слоја (репаратурни малтер или слично) у сврху припреме подлоге до жељене равнине.  Подлога не сме имати оштре делове, видљиву арматуру или депресије морају бити заобљене у  маx. радијусу 5 цм .</t>
  </si>
  <si>
    <t xml:space="preserve">Мембране се слободно полажу а спојеви се заварују врелих ваздухом са ширином вара од минимум 3 цм, преклоп минимум 8 цм. </t>
  </si>
  <si>
    <t xml:space="preserve">Хидроизолација се на детаљима линеарно учвршћује за подлогу пластифицираним лимовима, Сика ПВЦ лим.                                                                                               Уградња хоризонтално- слободно положено ; уградња вертикално - помоћу  Сика ПВЦ лимених елемента. </t>
  </si>
  <si>
    <t xml:space="preserve">Саставни део позиције су два слоја геотекстила 300 г/м² на бази полипропилена (ПП) са преклопом од 10 цм у сврху заштите хидроизолационе мембране и за спољну заштиту Хидроизолационе мембране. </t>
  </si>
  <si>
    <t>Постављање хоризонтално- слободно положено; постава вертикално- тачкасо фиксирано.</t>
  </si>
  <si>
    <t>Набавка и уградња Сика геотекстила 300 г/м2  на бази полипропилена (ПП) са преклопом од 10 цм у сврху заштите хидроизолационе мембране (спољна заштита). Постављање хоризонтално- слободно положено; поставаљање вертикално- тачкасто фиксирано.</t>
  </si>
  <si>
    <t>фасадни зид - сокла ФЗ С д=8 цм</t>
  </si>
  <si>
    <t>6.5.5.</t>
  </si>
  <si>
    <t>камена вуна д=3 цм у плафонима тераса</t>
  </si>
  <si>
    <t>6.5.4.</t>
  </si>
  <si>
    <t>бочни зид и стубови - терасе/лође ФЗСТ</t>
  </si>
  <si>
    <t>=2,80*4*(0,8*2+0,3*2+1,25*2+0,35+0,8*2+0,3*2)</t>
  </si>
  <si>
    <t>=0,5*146,13</t>
  </si>
  <si>
    <t>Набавка материјала, транспорт и израда термоизолације зидова у поткровљу.</t>
  </si>
  <si>
    <t>Термоизолација је камена вуна типа Knaufinsulation Ventacusto, дебљине д=14 цм или одговарајуће.</t>
  </si>
  <si>
    <t xml:space="preserve">Изолација се поставља у зони потконструкције лимене облоге ветрене фасаде, типловањем за носећи зид. </t>
  </si>
  <si>
    <t xml:space="preserve">Камена вуна мора бити произведена у складу са стандардом СРПС ЕН 13162,отпорност према протоку ваздуха АF5, топлотне проводљивости λ≤0,035 W/мК. </t>
  </si>
  <si>
    <t>=2,77*(3,75+1,0+4,15+2,2+2,42+3,75+3,45+2,2)</t>
  </si>
  <si>
    <t>=2,77*(2,0+4,15+2,12+4,05+6,27+3,12+3,15+3,6+3,95+2,2)</t>
  </si>
  <si>
    <t>=2*2,77*(2,0+4,15+2,12+4,05+6,27+3,12+3,15+3,6+3,95+2,2)</t>
  </si>
  <si>
    <t>=(2,77+1,99)/2*(2,0+4,15)*2+2,77*(2,0+4,15)+(2,77+2,5)/2*(3,6+1,0)*2+2,77*(3,95+2,2)</t>
  </si>
  <si>
    <t xml:space="preserve"> </t>
  </si>
  <si>
    <t>6.10.1.</t>
  </si>
  <si>
    <t>укупно Пос 6.10.1.</t>
  </si>
  <si>
    <t>укупно Пос 6.10.2.</t>
  </si>
  <si>
    <t>=2,77*(2,69+1,6)*2</t>
  </si>
  <si>
    <t>=(53,35+60,06+52,94+34,24+67,71+78,79+42,07+44,35)*2</t>
  </si>
  <si>
    <t>=50,03*2</t>
  </si>
  <si>
    <t>=380,43+74,77</t>
  </si>
  <si>
    <t>Набавка материјала, транспорт и израда термоизолације еркера.</t>
  </si>
  <si>
    <t>Набавка материјала, транспорт и израда термоизолације у подним сендвичима приземља.</t>
  </si>
  <si>
    <t>Набавка материјала, транспорт и израда термоизолације у плафонима негрејаних просторија.</t>
  </si>
  <si>
    <t>Набавка материјала, транспорт и израда термоизолације у поду топлотне подстанице, П ТП.</t>
  </si>
  <si>
    <t>Набавка материјала и израда термоизолације у косом ветреном крову, преко аб плоче (кров са ознаком К1).</t>
  </si>
  <si>
    <t>Термоизолација је камена вуна типа Smart roof top - Knaufinsulation или одговарајуће,  дебљине 14+15 цм, са стандардом EN 13162, са коефицијентом топлотне проводљивости λ≤0,038 W/mK.  .</t>
  </si>
  <si>
    <t>кров са ознаком К1</t>
  </si>
  <si>
    <t>Набавка материјала и израда термоизолације ветреног косог крова са ознаком К2.</t>
  </si>
  <si>
    <t>Термоизолација се састоји од:</t>
  </si>
  <si>
    <t>- активне парне бране типа Homeseal LDS5 Silk- Knaufinsulation), спојеве лепити одговарајућом траком</t>
  </si>
  <si>
    <t>- стаклене вуне типа Knaufinsulation Unifit 035, дебљине д=15 цм, са коефицијентом топлотне проводљивости λ≤0,035 W/mK</t>
  </si>
  <si>
    <t>- камене вуне типа Smart roof top - Knaufinsulation или одговарајуће,  дебљине 14 цм, са коефицијентом топлотне проводљивости λ≤0,038 W/mK са паропропусном водонепропусном фолијом</t>
  </si>
  <si>
    <t>термоизолација конструкције изнад негрејаног простора КИН 4, КИН 5, КИН 6, КИН 7</t>
  </si>
  <si>
    <t>=53,19+36,21+53,34+44,32+42,06+18,53+67,78+63,99</t>
  </si>
  <si>
    <t>1.спрат</t>
  </si>
  <si>
    <t>=3,13+4,26+4,34</t>
  </si>
  <si>
    <t>=(3,51*6+4,06*2)*2</t>
  </si>
  <si>
    <t>=0,6*(1,65*6+1,78*2)*2</t>
  </si>
  <si>
    <t>=2,77*(1,65*2+1,4*2+1,4*2+1,65+1,4*4)*2</t>
  </si>
  <si>
    <t>=2,4*2,56*3-2,4*0,7*2</t>
  </si>
  <si>
    <t>=3,51*5*2+4,1*2+4,22*2</t>
  </si>
  <si>
    <t>=(4,63+4,17+4,28+6,14+5,04+4,48+4,29)*2</t>
  </si>
  <si>
    <t>=(4,12+4,36+1,46+4,15+5,11+2,03+5,05+1,49+4,0*2)*2</t>
  </si>
  <si>
    <t>=2,77*(8,9+19,21+9,84+13,86+13,85+10,25+9,83+19,27+9,23+10,26+14,4+12,78+5,1+10,08+22,17+8,72+13,25+7,4+15,68+10,51+10,34*2+23,97*2+8,83*2+15,17*2+4,04+19,95+6,54+13,54+13,75+4,04)*2-((1,8*1,6+0,9*2,5)*6+1,5*2,35*2+1,5*2,05*2-3,0*10)*2</t>
  </si>
  <si>
    <t>=2,42*(8,9+19,21+9,84+13,86+13,85+10,25+9,83+19,27+9,23+10,26+14,4+12,78+5,1+10,08+22,17+8,72+13,25+7,4+15,68+10,51+10,34*2+23,97*2+8,83*2+15,17*2+4,04+19,95+6,54+13,54+13,75+4,04)-((1,8*1,6+0,9*2,5)*6+1,5*2,35*2+1,5*2,05*2-3,0*10)</t>
  </si>
  <si>
    <t>=380,43+80,01</t>
  </si>
  <si>
    <t>=(4,58+27,49+4,53+12,64+5,15+21,32+5,24+11,05+10,16+1,34+4,58+27,08+4,53+12,64+3,13+22,98+4,28+4,94+22,65+5,78+11,66+11,6+3,97+5,02+27,77+5,04+11,38+11,69+9,86+1,42+3,35+20,62+4,48++9,62+3,13+22,58+4,16+10,48)*2</t>
  </si>
  <si>
    <t>=2,77*(4,99+8,36+4,09+8,08+5,76*3+5,75+9,42+4,15)*2</t>
  </si>
  <si>
    <t>=(4,12*2+4,36+1,46+4,15+5,11+2,04+5,05+1,49+4,0*2)*2</t>
  </si>
  <si>
    <t xml:space="preserve">Набавка материјала и облагање плафона (косих и равних) поткровља. </t>
  </si>
  <si>
    <t xml:space="preserve">Плафон се облаже пожарноотпорним GKF плочама дебљине д=12,5 мм, отпорним на пожар F30, на сопственој дрвеној потконструкцији, секундарни СD 60x27x0,6 мм у ортогоналном правцу на сваких 40-50 цм. </t>
  </si>
  <si>
    <t xml:space="preserve">Гипсане плоче се причвршћују дозвољеним вијцима за потконструкцију. </t>
  </si>
  <si>
    <t xml:space="preserve">Облога мора поседовати атест акредитоване лабораторије на захтевану ватроотпорност, као и извештај овлашћене институције  за испитивање материјала у свему према SRPS U.J1 090 . </t>
  </si>
  <si>
    <t>Продори инсталација кроз противпожарне облоге ће се заптивати вишекомпонентном  ватроотпорном смесом која омогућава исту ватроотпорност продора.</t>
  </si>
  <si>
    <t>На свим истуреним угловима уградити одговарајуће заштитне угаонике. Спојнице између плоча се обрађују смесом за испуњавање спојница.</t>
  </si>
  <si>
    <t>Радити у свему према спецификацији произвођача и Техничком опису.</t>
  </si>
  <si>
    <t>Обрачун по м² изведених зидова без одбијања отвора.</t>
  </si>
  <si>
    <t>облагање косог плафона</t>
  </si>
  <si>
    <t>7.4.</t>
  </si>
  <si>
    <t>=513,29+127,40</t>
  </si>
  <si>
    <t>=3,825*2+7,25*2</t>
  </si>
  <si>
    <t>Набавка материјала, израда, транспорт и монтажа самплеха од челичног поцинкованог пластифицираног лима дебљине д=0,6 мм. .</t>
  </si>
  <si>
    <t>=3,825*2+7,25*2+8,18+2,54+8,65+5,87+1,8+5,58+11,89+2,87*2+8,46+8,9+7,9+11,72</t>
  </si>
  <si>
    <t>=8,18+2,54+8,65+5,87+1,8+5,58+11,89+2,87*2+8,46+8,9+7,9+11,72</t>
  </si>
  <si>
    <t>Набавка материјала, израда, транспорт и монтажа висећих олука израђених од челичног поцинкованог пластифицираног лима д=0,6 мм.</t>
  </si>
  <si>
    <t xml:space="preserve">Држаче олука радити од флаха 25/5 мм, од челичног поцинкованог пластифицираног лима, на размаку од 80 цм и нитовати са предње стране. </t>
  </si>
  <si>
    <t>олук развијене ширине око 60 цм</t>
  </si>
  <si>
    <t>Делове олука спајати нитнама. Нитне су у боји олука.</t>
  </si>
  <si>
    <t>олук развијене ширине 77 цм</t>
  </si>
  <si>
    <t>Набавка материјала, израда, транспорт и монтажа маске висећих олука израђене од челичног поцинкованог пластифицираног лима д=0,6 мм.</t>
  </si>
  <si>
    <t>Маску радити у свему према детаљу и упутству пројектанта.</t>
  </si>
  <si>
    <t>Обрачун по м¹ уграђене маске висећих олука.</t>
  </si>
  <si>
    <t>маска развијене ширине око 22 цм</t>
  </si>
  <si>
    <t>=15,64*4+14,05*2</t>
  </si>
  <si>
    <t xml:space="preserve">Набавка материјала, транспорт и израда опшивке венца на коти +14,95. </t>
  </si>
  <si>
    <t>Опшав је од челичног  поцинкованог пластифицираног лима дебљине д= 0,6 мм, са обострано препуштеном окапницом, укупне развијене ширине 30 цм.</t>
  </si>
  <si>
    <t>Опшав фиксирати за армирано бетонски венац преко дистанцера, који формирају пад.</t>
  </si>
  <si>
    <t>Испод опшивке поставити кровну лепенку, што је саставни део позиције.</t>
  </si>
  <si>
    <t>=7,25*2+3,825*2</t>
  </si>
  <si>
    <t>обзиђивање инсталационих канала (зид СЗ5, у ходнику објекта)</t>
  </si>
  <si>
    <t>Набавка материјала, транспорт и зидање/ обзиђивање блоковима поробетона (типа Итонг или одговарајуће).</t>
  </si>
  <si>
    <t>зидање зидова у баџама - терасе</t>
  </si>
  <si>
    <t>=2,77*(0,72*2+0,39+0,38)*4</t>
  </si>
  <si>
    <t>парапети тераса,  приземље - поткровље</t>
  </si>
  <si>
    <t>=1,20*3,0*5</t>
  </si>
  <si>
    <t xml:space="preserve">Набавка материјала, транспорт и израда опшивке зиданих ограда тераса. </t>
  </si>
  <si>
    <t>=5*3,0</t>
  </si>
  <si>
    <t>Набавка материјала, транспорт и покривање плоче на коти +14,70 равним, поцинкованим, пластифицираним челичним лимом дебљине д=0,6 мм, преко потконструкције (посебно обрачунато).</t>
  </si>
  <si>
    <t>Покривање извести у свему према детаљима и упутству пројектанта.</t>
  </si>
  <si>
    <t>Испод лима поставити кровну лепенку.</t>
  </si>
  <si>
    <t>Набавка материјала, транспорт и израда опшивке увале уз зид, вандиксне, поцинкованим лимом, развијене ширине (РШ) 98 цм</t>
  </si>
  <si>
    <t>Опшав је од челичног поцинкованог пластифицираног лима дебљине д=0,6мм.</t>
  </si>
  <si>
    <t>Опшав извести у свему према детаљу. Испод опшивке поставити кровну лепенку, што је саставни део позиције.</t>
  </si>
  <si>
    <t>=2*(2,89+2,28)</t>
  </si>
  <si>
    <t>=9*2*2*1,4</t>
  </si>
  <si>
    <t>=0,7*(0,6*4+1,4*2+2,05+2,63+0,6*3+1,83+2,21+1,6*2+0,6*8+1,83*2+2,21*2+1,15+2,06+0,6*2)*2</t>
  </si>
  <si>
    <t>=(0,3+0,16)*9*2*2</t>
  </si>
  <si>
    <t>=(4,58+27,49+12,64+5,15+21,32+11,05+10,16+1,34+4,58+27,08+12,64+3,13+22,68+4,94+22,65+11,66+11,6+3,97+5,02+27,77+11,38+11,69+9,86+1,42+3,35+20,62+9,62+3,13+22,58+10,48)*2</t>
  </si>
  <si>
    <t>=(10,34+24,1+15,17+4,63+23,46+13,54+13,75+4,63+10,34+23,97+15,17+7,46+19,38+10,1+23,87+14,4+11,69+4,84+8,9+19,21+13,86+13,85+12,94+4,84+8,81+22,09+13,25+7,34+19,33+13,2)*2</t>
  </si>
  <si>
    <t>=0,8*11*2</t>
  </si>
  <si>
    <t>=2*(2,67*(10,34+24,1+8,73+15,17+4,63+23,46+9,74+13,54+13,75+4,63+10,34+23,97+8,73+15,17+7,46+19,38+8,54+10,1+23,87+13,81+14,4+11,69+4,84+8,9+19,21+10,0+13,86+13,85+12,94+4,84+8,81+22,09+8,72+13,25+7,34+19,33+8,41+13,2+18,13)+2,4*65,65-(3,01*2,45+(1,8*1,6+0,9*2,5)*6+1,38*2,4*2-3,0*9))</t>
  </si>
  <si>
    <t>=2,77*(4,99+8,36+4,09+8,08+5,76*3+5,75+9,42+4,15)+2,4*2,56+(2,77+2,50)/2*(3,94+4,15+3,65+1,65+3,73+3,7+3,8*2)+2,77*65,89-(2,85*2,4+1,18*2,4+1,0*2,1*7)</t>
  </si>
  <si>
    <t>укупно Пос 14.1.2.</t>
  </si>
  <si>
    <t>укупно Пос 14.1.3.</t>
  </si>
  <si>
    <t>=(53,35+60,06+52,94+34,24+67,74+78,79+42,07+44,35+49,95)*2</t>
  </si>
  <si>
    <t>=18,5*146,13</t>
  </si>
  <si>
    <t>1.- 3. спрат</t>
  </si>
  <si>
    <t>=0,30*((1,4*2+2,7)*5+1,1+1,99+1,03+2,73*2+1,03+1,98)+2,72*((0,3*2+0,8*2)*2+1,23+0,35)</t>
  </si>
  <si>
    <t>=3*0,30*((1,4*2+2,7)*6+1,1+1,99+1,03+2,73*2+1,03+1,98)+2*2,72*((0,3*2+0,8*2)*2+1,23+1,35+0,35)</t>
  </si>
  <si>
    <t>=0,30*((1,4*2+2,7)*6+1,1+1,99+1,03+2,73*2+1,03+1,98)+2,72*((0,3*2+0,8*2)+1,23+1,35+0,35)</t>
  </si>
  <si>
    <t>6.5.6.</t>
  </si>
  <si>
    <t>камена минерална вуна д=15 цм</t>
  </si>
  <si>
    <t>фасадни зид ФЗ5</t>
  </si>
  <si>
    <t>=2,77*4,52</t>
  </si>
  <si>
    <t>=15,7*(35,99+8,37+1,8+14,95+0,4+3,01+0,4+9,66+5,45+1,8+0,25*2)-(5,56*2,45+2,4*2,3*10+1,0*1,6*92+1,6*1,8*63+1,38*2,4*10+0,9*2,5*29+1,0*1,5*22+1,5*1,8*4+2,77*2,45*4)+2,8*(2,47+2,18)*10+2,69*(3,3+5,77+4,08+0,97)-3,0*2,67+15,7*13,45*2+1,69*6,73/2*2-(1,0*1,6*9+1,0*0,6*5+1,2*2,4*5)</t>
  </si>
  <si>
    <t>Крило врата: рам је MDF-а дебљине 37 мм, испуна картонско саће, облога  од MDF дебљине д=8 мм Еgger или одговарајућа, кантовано ABS траком.  Кантовање је полиуретанским лепком.</t>
  </si>
  <si>
    <t xml:space="preserve">Шток од MDF-a д=35 мм, обложен СРL ламинатом Еgger или одговарајуће.
</t>
  </si>
  <si>
    <t>Первази су од MDF д=14 мм, обложени ЦПЛ ламинатом Еgger или одговарајуће.</t>
  </si>
  <si>
    <t xml:space="preserve">Измећу крила и штока поставља се дихтунг профил од неопренске гуме. Коефицијент пролаза топлоте w≤1.6W/m²K.
</t>
  </si>
  <si>
    <t>Врата су са сигурносном бравом у 3 тачке MCM и бродском шарком од инокса носивости до 80 кг и шпијунком на висини 180 цм.</t>
  </si>
  <si>
    <t>ознака 1У у кругу</t>
  </si>
  <si>
    <t>унутрашња пуна врата</t>
  </si>
  <si>
    <t xml:space="preserve">Крило врата: рам је MDF-а дебљине д=37 мм, а испуна картонско саће. Крило врата  од Еgger MDF дебљине д=8 мм. </t>
  </si>
  <si>
    <t>Крило је са свих страна кантовано ABS  траком. Кантовање је полиуретанским лепком.</t>
  </si>
  <si>
    <t>Шток од MDF-a д=35 мм обложен СРL ламинатом Еgger или одговарајући.
Первајзи су од MDF д=14 мм, обложени СРL ламинатом Еgger или одговарајући</t>
  </si>
  <si>
    <t xml:space="preserve">Измећу крила и штока поставља се дихтунг профил од неопренске гуме.
Врата опремити адекватним оковом домаће производње: бравом и бродском шарком од инокса носивости до 80 кг. </t>
  </si>
  <si>
    <t>Набавка, транспорт и уградња унутрашњих врата.</t>
  </si>
  <si>
    <t>Крило врата: рам је MDF-а дебљине д=37 мм,  испуна картонско саће, облога  од MDF дебљине д=8 мм Еgger или одговарајуће, кантовано ABS  траком.  Кантовање је полиуретанским лепком.</t>
  </si>
  <si>
    <t>Шток од MDF-a 35 д=мм обложен СРL ламинатом Еgger или одговарајући.
Первајзи су од MDF д=14 мм, обложени СРL ламинатом Еgger или одговарајући</t>
  </si>
  <si>
    <t>једнокрилна пуна врата перфорирана у доњој зони кружним отворима</t>
  </si>
  <si>
    <t>Крило врата: рам је MDF-а дебљине д=37 мм, испуна картонско саће, облога  од MDF дебљине д=8 мм Еgger или одговарајуће, кантовано ABS  траком.  Кантовање је полиуретанским лепком.</t>
  </si>
  <si>
    <t xml:space="preserve">Врата опремити адекватним  механизмом за клизање у горњој зони, ручицама за повлачење, граничницима и одбојником за заустављање. </t>
  </si>
  <si>
    <t>Целокупан пробор је 
домаће производње. Предвидети маску.</t>
  </si>
  <si>
    <t>једнокрилна врата</t>
  </si>
  <si>
    <t>кровни прозор са ручном спољном тендом</t>
  </si>
  <si>
    <t xml:space="preserve">Набавка, транспорт и уградња VELUX кровног прозора типа GZL или одговарајуће, димензија 78x118 са појединачном-комбинованом дуо алуминијумском опшивком EDS-EKS, која садржи термо и хидроизолациони сет са дренажним каналом. </t>
  </si>
  <si>
    <t>Прозор је са средишњим вешањем и поцинкованом ручицом за отварање на горњој страни крила, отварање и затварање прозора помоћу телескопске шипке ZCT са адаптером ZOZ 95 у којој се налази интегрисани вентилациони отвор са филтером. Коефицијент пролаза топлоте Uw=1.3 W/m²K.</t>
  </si>
  <si>
    <t>Прозор је опремљен ручном спољном тендом типа MHL за заштиту од сунчевих зрака смањујући загревање стакла и унутрашњег простора.</t>
  </si>
  <si>
    <t>Тенда је направљена од високо издржљиве карбонске мреже.</t>
  </si>
  <si>
    <t>Обрачун по комаду уграђеног прозора у свему према опису.</t>
  </si>
  <si>
    <t>ознака 4 у кругу</t>
  </si>
  <si>
    <t>кровни прозор са тендом</t>
  </si>
  <si>
    <t>зидарска мера 78/118 цм</t>
  </si>
  <si>
    <t>излаз на кров</t>
  </si>
  <si>
    <t xml:space="preserve">Набавка, транспорт и уградња излаза на корв са интегрисаном опшивком типа GVT димензија 54x83 </t>
  </si>
  <si>
    <t>Оквир и интегрисана опшивка направљени су од црног полиуретана.</t>
  </si>
  <si>
    <t>Отвара се бочно према напоље и има три позиције за вентилацију</t>
  </si>
  <si>
    <t>Обрачун по комаду уграђених позиција</t>
  </si>
  <si>
    <t>ознака 5 у кругу</t>
  </si>
  <si>
    <t>зидарска мера 54/83 цм</t>
  </si>
  <si>
    <t>фасадни ПВЦ прозор</t>
  </si>
  <si>
    <t>Набавка и уградња фасадне ПВЦ столарије израђене од белих ПВЦ петокоморних профила са унутрашњим ојачањем од челичних поцинкованих профила д=1,5мм и са двоструким спољашњим дихтовањем.</t>
  </si>
  <si>
    <t>Застакљивање је термоизолационим стаклом 4+16+4 мм са  испуном од аргона и нискоемисионим премазом.</t>
  </si>
  <si>
    <t xml:space="preserve">Прозор снабдети одговарајућим оковом са отварањем око хоризонталне и вертикалне осе, еслингер ролетнама (ПВЦ ламелице) или венецијанер засторима од ПВЦ-а, ПВЦ подпрозорном клупицом и окапницом. </t>
  </si>
  <si>
    <t>Прозорска окапница је од  екструдираног алуминијумског лима и то је саставни део позиције.</t>
  </si>
  <si>
    <t>ПВЦ оквир мора садржати подпрозорни профил како би се могла уградити унутрашња даска.</t>
  </si>
  <si>
    <t xml:space="preserve">Укупан коефицијент за пролаз топлоте мора бити Uw≤1.5W/m²K (доказати прорачуном и приложити одговарајуће атесте) </t>
  </si>
  <si>
    <t xml:space="preserve">Предвидети све приборе и заптивне материјале, интегрисани систем вентилисања и дренаже (одвођење кондеза у спољну средину). </t>
  </si>
  <si>
    <t>Конструкција обухвата све радове, елементе и завршетке (завршне лимове, одговарајуће дихтунге) у свему у складу са правилником о енергетској ефикасности.</t>
  </si>
  <si>
    <t>Фасадна облога покрива вертикалне делове спољашњег рама позиције.</t>
  </si>
  <si>
    <t>9.1.1.</t>
  </si>
  <si>
    <t>двокрилни прозор снабдевен еслингер ролетном, отварање у свему према шеми</t>
  </si>
  <si>
    <t>9.1.2.</t>
  </si>
  <si>
    <t>9.1.3.</t>
  </si>
  <si>
    <t>ознака 2а   у дуплом кругу</t>
  </si>
  <si>
    <t>двокрилни прозор снабдевен венецијанер ролетном, отварање у свему према шеми</t>
  </si>
  <si>
    <t>зидарска мера 180/100цм</t>
  </si>
  <si>
    <t>9.1.4.</t>
  </si>
  <si>
    <t>ознака 2а*   у дуплом кругу</t>
  </si>
  <si>
    <t>9.1.6.</t>
  </si>
  <si>
    <t>ознака 2б   у дуплом кругу</t>
  </si>
  <si>
    <t>зидарска мера 180/150цм</t>
  </si>
  <si>
    <t>ознака 2б*   у дуплом кругу</t>
  </si>
  <si>
    <t>9.1.7.</t>
  </si>
  <si>
    <t>једнокрилни прозор снабдевен еслингер ролетном, отварање у свему према шеми</t>
  </si>
  <si>
    <t>9.1.8.</t>
  </si>
  <si>
    <t>9.1.9.</t>
  </si>
  <si>
    <t>ознака 3б   у дуплом кругу</t>
  </si>
  <si>
    <t>зидарска мера 100/150цм</t>
  </si>
  <si>
    <t>ознака 3б*   у дуплом кругу</t>
  </si>
  <si>
    <t>9.1.10.</t>
  </si>
  <si>
    <t>ознака 3а   у дуплом кругу</t>
  </si>
  <si>
    <t>једнокрилни прозор снабдевен венецијанер ролетном, отварање у свему према шеми</t>
  </si>
  <si>
    <t>9.1.11.</t>
  </si>
  <si>
    <t>ознака 3а*   у дуплом кругу</t>
  </si>
  <si>
    <t>9.1.12.</t>
  </si>
  <si>
    <t>ознака 5   у дуплом кругу</t>
  </si>
  <si>
    <t>једнокрилни прозор, отварање у свему према шеми</t>
  </si>
  <si>
    <t>9.1.13.</t>
  </si>
  <si>
    <t>фасадна ПВЦ преграда</t>
  </si>
  <si>
    <t xml:space="preserve">Набавка и уградња фасадне ПВЦ преграде са вратима према шеми отварања. </t>
  </si>
  <si>
    <t>Преграда је израђена су од белих ПВЦ петокоморних профила са унутрашњим ојачањем од челичних поцинкованих профила д=1,5мм и са двоструким спољашњим дихтовањем.</t>
  </si>
  <si>
    <t>Врата су снабдевена одговарајућим оковом са отварањем око хоризонталне и вертикалне осе, еслингер ролетнама (ПВЦ ламелице) или венецијанер засторима од ПВЦ-а, ПВЦ подпрозорном клупицом и окапницом.</t>
  </si>
  <si>
    <t>Код балконских врата предвидети са унутрашње стране покривну даску од буковог дрвета и то је саставни део позиције.</t>
  </si>
  <si>
    <t>Укупан коефицијент за пролаз топлоте мора бити Uw≤1.5W/m²K (доказати прорачуном и приложити одговарајуће атесте)</t>
  </si>
  <si>
    <t>Предвидети све приборе и заптивне материјале, интегрисани систем вентилирања и дренаже (одвођење кондеза у спољну средину).</t>
  </si>
  <si>
    <t xml:space="preserve">Конструкција обухвата све радове, елементе и завршетке (завршне лимове, одговарајуће дихтунге) у свему у складу са правилником о енергетској ефикасности. </t>
  </si>
  <si>
    <t>9.2.1.</t>
  </si>
  <si>
    <t>ознака 1a у дуплом кругу</t>
  </si>
  <si>
    <t>фасадна преграда са балконским  вратима снабдевена еслингер ролетном, отварање према шеми</t>
  </si>
  <si>
    <t>зидарска мера 180/160+90/240цм</t>
  </si>
  <si>
    <t>ознака 1a* у дуплом кругу</t>
  </si>
  <si>
    <t>зидарска мера 90/240+180/160цм</t>
  </si>
  <si>
    <t>ознака 1в у дуплом кругу</t>
  </si>
  <si>
    <t>зидарска мера 180+90/240цм</t>
  </si>
  <si>
    <t>9.2.2.</t>
  </si>
  <si>
    <t>ознака 1в* у дуплом кругу</t>
  </si>
  <si>
    <t>зидарска мера 90+180/240цм</t>
  </si>
  <si>
    <t>9.2.3.</t>
  </si>
  <si>
    <t>ознака 9 у дуплом кругу</t>
  </si>
  <si>
    <t>једнокрилна балконска врата снабдевена еслингер ролетном, отварање према шеми</t>
  </si>
  <si>
    <t>зидарска мера 90/240цм</t>
  </si>
  <si>
    <t>9.2.4.</t>
  </si>
  <si>
    <t>ознака 9* у дуплом кругу</t>
  </si>
  <si>
    <t>једнокрилна балконска врата  снабдевена еслингер ролетном, отварање према шеми</t>
  </si>
  <si>
    <t>ознака 17 у дуплом кругу</t>
  </si>
  <si>
    <t>фасадна преграда са балконским  вратима снабдевена венецијанер ролетном, отварање у свему према шеми</t>
  </si>
  <si>
    <t>зидарска мера 80+60/177-230цм</t>
  </si>
  <si>
    <t>ознака 17* у дуплом кругу</t>
  </si>
  <si>
    <t>зидарска мера 60+80/177-230цм</t>
  </si>
  <si>
    <t xml:space="preserve">Набавка и уградња фасадне браварије, фасадна преграда са двокрилним  улазним вратима -  на улазу у ветробран. </t>
  </si>
  <si>
    <t>Алуминијумска спољна браварија је израђени су од алуминијумских профила са термопрекидом. Пластификација је у белој боји RAL 9016.</t>
  </si>
  <si>
    <t xml:space="preserve">Уградњу  вршити преко челичних држача и избећи директан контакт челика и алуминијума. </t>
  </si>
  <si>
    <t xml:space="preserve">Сви челични елементи и остали елементи за фиксирање позиције, опшивни елементи као и материјал за термичку и хидроизолацију по ободу отвора, су саставни део позиције. </t>
  </si>
  <si>
    <t xml:space="preserve">Застакљивање се врши термоизолационим транспарентним стакло пакетом. Конфигурација стакло пакета: 6+16+6 мм са испуном од аргона. </t>
  </si>
  <si>
    <t>Пуни делови преграде - панели поља испред бетонских делова конструкције се израђују уградњом  обостране облоге од алуминијумског лима д=1 мм, са испуном од камене вуне.</t>
  </si>
  <si>
    <t>ознака 1Г у квадрату</t>
  </si>
  <si>
    <t>зидарска мера 288/240+27 цм</t>
  </si>
  <si>
    <t>Набавка и уградња фасадне браварије, фасадна преграда са двокрилним  улазним вратима -  у ветробрану.</t>
  </si>
  <si>
    <t>Алуминијумска спољна браварија је израђени су од алуминијумских профила без термопрекида. Пластификација је у белој боји RAL 9016.</t>
  </si>
  <si>
    <t>Сви челични елементи и остали елементи за фиксирање позиције, опшивни елементи као и материјал за термичку и хидроизолацију по ободу отвора, су саставни део позиције</t>
  </si>
  <si>
    <t>ознака 2Г у квадрату</t>
  </si>
  <si>
    <t>зидарска мера 288/240 цм</t>
  </si>
  <si>
    <t xml:space="preserve">Набавка и уградња фасадне браварије, фасадна стаклена преграда на степенишном простору.         </t>
  </si>
  <si>
    <t>Алуминијумска спољна браварија је израђени су од алуминијумских профила са термопрекидом. Пластификација је у белој боји.</t>
  </si>
  <si>
    <t>Застакљивање се врши термоизолационим транспарентним стакло пакетом. Конфигурација стакло пакета: 4+16+4 мм са испуном од аргона и  нискоемисионим премазом.</t>
  </si>
  <si>
    <t>10.3.1.</t>
  </si>
  <si>
    <t>ознака 8 у квадрату</t>
  </si>
  <si>
    <t>зидарска мера 180/225 цм</t>
  </si>
  <si>
    <t>10.3.2.</t>
  </si>
  <si>
    <t>ознака 9 у квадрату</t>
  </si>
  <si>
    <t>зидарска мера 180/72,5 цм</t>
  </si>
  <si>
    <t>ознака 10 у квадрату</t>
  </si>
  <si>
    <t>зидарска мера 180/100 цм</t>
  </si>
  <si>
    <t>телескопске пењалице</t>
  </si>
  <si>
    <t>Набавка и уградња телескопских пењалица за излаз у тавански простор.</t>
  </si>
  <si>
    <t xml:space="preserve">Предвиђена висина пењања је 300 цм. Пењалице су металне, дводелне са фиксним горњим  и покретним доњим делом. </t>
  </si>
  <si>
    <t>Горњи, фиксни део се поставља на висини 145cm од коте готовог пода. Доњи део се подиже и спушта клизањем по вођици.</t>
  </si>
  <si>
    <t xml:space="preserve">Газишта су постављена на вертикалним растојањима од 30 цм.
Детаљи фиксирања и веза елемената према спецификацији произвођача. </t>
  </si>
  <si>
    <t>ознака П у квадрату</t>
  </si>
  <si>
    <t>металне пењалице</t>
  </si>
  <si>
    <t>Набавка и уградња пењалица од округлог пуног гвожђа Ø 20мм.</t>
  </si>
  <si>
    <t>Пењалице се уграђују приликом извођења бетонских радова.</t>
  </si>
  <si>
    <t>Пењалице су дужине 30цм, дужина газишта је 15цм, а дубина анкеровања у зид је 12цм. Висинска разлика између пењалица је 30цм.</t>
  </si>
  <si>
    <t>После скидања рђе и одмашћивања све се премазује основном заштитном бојом, а затим два пута бојом за метал у боји по избору пројектанта.</t>
  </si>
  <si>
    <t>ознака П3 у квадрату</t>
  </si>
  <si>
    <t>димензија 30/15 цм, са седам газишта</t>
  </si>
  <si>
    <t>врата са жалузином</t>
  </si>
  <si>
    <t>Набавка и уградња фасадне браварије,  врата са жалузином</t>
  </si>
  <si>
    <t xml:space="preserve">Метална врата, крило врата је у раму од челичних профила 40/40мм са обостраном облогом од челичног лима д=2 мм. </t>
  </si>
  <si>
    <t xml:space="preserve">Шток је од челичних кутијастих профила 40/40мм, опшив штока је такође од челичног лима. </t>
  </si>
  <si>
    <t>Жалузине су смештене у доњој зони крила врата. Са унутрашње стране на делу жалузина фиксирати заштитну мрежицу.</t>
  </si>
  <si>
    <t xml:space="preserve">Врата снабдети потребним оковом  и цилиндар бравом са кључевима, механизмом за аутоматско затварање врата челичном опругом.
</t>
  </si>
  <si>
    <t>Заштитити против корозије антикорозивним премазом и бојити два пута емајл лаком у боји према шемама</t>
  </si>
  <si>
    <t>Радити по детаљу произвођа уз сагласност које усваја Пројектант, уз сагласност Инвеститора.</t>
  </si>
  <si>
    <t>метална двокрилна врата са жалузином</t>
  </si>
  <si>
    <t>зидарска мера 150/240цм</t>
  </si>
  <si>
    <t>унутрашња ограда подеста</t>
  </si>
  <si>
    <t>Набавка и уградња заштитне металне ограде. Ограде су изграђене од хладно вучених челичних профила - црна браварија.</t>
  </si>
  <si>
    <t>Црна браварија се двоструко антикорозивно штити (одговарајућим антикорозивним средствима) и боји квалитетним емајл лаком (бојом за метал), у тону по усвојеном узорку (5021 по RAL стандарду).</t>
  </si>
  <si>
    <t>У спровођењу антикорозивне заштите морају се спровести све операције (одмашћивање, чишћење од рђе, премазивање).</t>
  </si>
  <si>
    <t xml:space="preserve">Ограде на подестима, су од одговарајућих хладно вучених челичних профила у свему према шемама у графичкој документацији и горе наведеном опису. </t>
  </si>
  <si>
    <t>ограда висине 80 цм,                                                          ознака СО5 у дуплом квадрату</t>
  </si>
  <si>
    <t>=1,7*4</t>
  </si>
  <si>
    <t>спољне заштитне ограде</t>
  </si>
  <si>
    <t xml:space="preserve">Заштитне ограде су од одговарајућих хладно вучених челичних профила у свему према шемама у графичкој документацији и горе наведеном опису. </t>
  </si>
  <si>
    <t>ограда висине 85 цм,                                                          ознака ЗО1 у дуплом квадрату</t>
  </si>
  <si>
    <t>=1,74*6</t>
  </si>
  <si>
    <t>ограда висине 85 цм,                                                          ознака ЗО2 у дуплом квадрату</t>
  </si>
  <si>
    <t>=0,94*16</t>
  </si>
  <si>
    <t>Набавка и уградња заштитне металне ограде- на терасама. Ограде су изграђене од хладно вучених челичних профила - црна браварија</t>
  </si>
  <si>
    <t xml:space="preserve">Црна браварија се двоструко антикорозивно штити (одговарајућим антикорозивним средствима) и боји квалитетним емајл лаком (бојом за метал), у тону по усвојеном узорку (5021 по RAL стандарду). </t>
  </si>
  <si>
    <t xml:space="preserve">Ограде на терасама, су од одговарајућих хладно вучених челичних профила у свему према шемама у графичкој документацији и горе наведеном опису. </t>
  </si>
  <si>
    <t>ограда висине 105 цм,                                                          ознака О1а у дуплом квадрату</t>
  </si>
  <si>
    <t>=(1,3*2+2,9)*18</t>
  </si>
  <si>
    <t>ограда висине 105 цм,                                                          ознака О1б у дуплом квадрату</t>
  </si>
  <si>
    <t>=(0,37*2+2,9)*2</t>
  </si>
  <si>
    <t>ограда висине 105цм,                                                          ознака О3 у дуплом квадрату</t>
  </si>
  <si>
    <t>ограда висине 105 цм,                                                          ознака О4 у дуплом квадрату</t>
  </si>
  <si>
    <t>=1,3*10</t>
  </si>
  <si>
    <t>ограда висине 105 цм,                                                          ознака О5а у дуплом квадрату</t>
  </si>
  <si>
    <t>=1,16*10</t>
  </si>
  <si>
    <t>10.8.7.</t>
  </si>
  <si>
    <t>ограда висине 140 цм,                                                          ознака О14а у дуплом квадрату</t>
  </si>
  <si>
    <t>ограда висине 105цм,                                                          ознака О19 у дуплом квадрату</t>
  </si>
  <si>
    <t>=(0,37+2,9+1,3)*2</t>
  </si>
  <si>
    <t>ограда висине 105цм,                                                          ознака О19* у дуплом квадрату</t>
  </si>
  <si>
    <t>=(1,3+2,9+0,37)*2</t>
  </si>
  <si>
    <t>тродимензионална маска спољних клима</t>
  </si>
  <si>
    <t>Набавка и уградња маске спољних клима која се састоји од: 1- ограде (рукохват, транспарентна испуна и U профил висине 35цм) и 2 - носача климе.</t>
  </si>
  <si>
    <t>Ограде су изграђене од хладно вучених челичних профила - црна браварија</t>
  </si>
  <si>
    <t xml:space="preserve">Анкеровање ограде се врши у конструкцију зидова, греда и плоча преко анкер плочица и анкер типлова који се морају монтирати пре постављања фасада и подова. Носачи климе се фиксирају за U профил варом и за ободну бетонску греду. </t>
  </si>
  <si>
    <t>10.9.1.</t>
  </si>
  <si>
    <t>ознака ОК1 у дуплом квадрату</t>
  </si>
  <si>
    <t>димензије 50+135/140цм</t>
  </si>
  <si>
    <t>маска спољних клима у баџама поткровља</t>
  </si>
  <si>
    <t>Набавка и уградња маске за спољне јединице клима уређаја које се налазе у баџама поткровља.</t>
  </si>
  <si>
    <t>Састоји се од перфорираног лима d=0,6мм у раму од L профила.
Перфорирани лим је по обради и боји у потпуности идентичан обради кровног покривача. Проценат перфорације је мин. 30%.</t>
  </si>
  <si>
    <t>Сви конструктивни елементи су израђени од хладно вучених челичних профила - црна браварија</t>
  </si>
  <si>
    <t>Анкеровање маске се врши на конструкцију доње и горње плоче преко анкер плочица и анкер типлова који се морају монтирати пре постављања фасада и кровног покривача.</t>
  </si>
  <si>
    <t>ознака КБ у дуплом квадрату</t>
  </si>
  <si>
    <t>маска за спољну климу</t>
  </si>
  <si>
    <t>димензије 39+84/72цм</t>
  </si>
  <si>
    <t>рукохват на бетонској огради</t>
  </si>
  <si>
    <t>Набавка и уградња заштитне металне ограде рукохвата на бетонској огради</t>
  </si>
  <si>
    <t>Рукохват је кутијасти профил HOP 70/50/3 мм који је на почетку и на крају затворен плочицама 70/50/5 мм, а флаховима 150/50/5 мм везан за плочицу 120/170/5 мм  анкеровану у парапетни зид завртњима.</t>
  </si>
  <si>
    <t>Све елементе заштитити против корозије и бојити бојом за метал два пута у тону 9006 по RALL стандарду .</t>
  </si>
  <si>
    <t>ограда висине 105цм, ознака ОР у дуплом квадрату</t>
  </si>
  <si>
    <t>Набавка и уградња заштитне металне ограде- на степеништу. Ограде су изграђене од хладно вучених челичних профила - црна браварија</t>
  </si>
  <si>
    <t xml:space="preserve">Црна браварија се двоструко антикорозивно штити (одговарајућим антикорозивним средствима) и боји квалитетним емајл лаком (бојом за метал), у тону по усвојеном узорку (7015 по RAL стандарду). </t>
  </si>
  <si>
    <t>=2,87*4*2+0,1*2*4+1,48</t>
  </si>
  <si>
    <t>метална ограда на рампи</t>
  </si>
  <si>
    <t>Набавка и уградња металне ограде на рампи. Ограде су израђене од  челичних елемената.</t>
  </si>
  <si>
    <t>Састоји се из вертикалних и хоризонталних профила HOP 50/40/4. Испуна ограде су  два хоризонтална профила HOP 40/20/4. Сви елементи су међусобно заварени. Рукохвати, постављени на 70цм и 90цм од пода рампе, су од челичних цеви ∅40/2.5мм, везани арматурним гвожђем ∅10мм за вертикалне кутијасте профиле.</t>
  </si>
  <si>
    <t>Ограда је причвршћена за бетонску конструкцију преко анкер плочица, које су заварене за вертикалне кутијасте профиле, а веза анкер плочица и бетонске конструкције је остварена преко анкер завртњева М12.</t>
  </si>
  <si>
    <t>Ограду темељно очистити и заштити против корозије антикорозивним премазом и бојити емајл лаком два пута у тону 7015 по RAL стандарду.</t>
  </si>
  <si>
    <t>ограда висине 90цм, ознака РА у дуплом квадрату</t>
  </si>
  <si>
    <t>=32,7*1</t>
  </si>
  <si>
    <t>Набавка и уградња, унутрашњих, металних, противпожарних врата на електроорманима, ватроотпорна 90 минута .</t>
  </si>
  <si>
    <t xml:space="preserve">Крило врата је сендвич - челични лим, обострано на потконструкцији, са одговарајућом противпожарном испуном. </t>
  </si>
  <si>
    <t>Опшав штока је такође од челичног лима.</t>
  </si>
  <si>
    <t>Завршна заштита од корозије и финално фарбање белом бојом за метал.</t>
  </si>
  <si>
    <t>На једном крилу предвидети механизам за фиксирање у затвореном  положају.</t>
  </si>
  <si>
    <t>Врата снабдевена стандардним оковом са системом за аутоматском затварање - челичном опругом и бравом са цилиндром са три кључа. Квака од инокса.</t>
  </si>
  <si>
    <t xml:space="preserve">противпожарни капак </t>
  </si>
  <si>
    <t xml:space="preserve">Набавка и уградња пп ревизиони капак за излаз у тавански простор атестирана на ватроотпорност од
 60 минута. </t>
  </si>
  <si>
    <t>Kапак је завршно обрађен челичним бојеним лимом и опремљен потребним оковом и механизмом за затварање.</t>
  </si>
  <si>
    <t xml:space="preserve">Произвођач је дужан да дефинише начин уградње радионичким цртжом. </t>
  </si>
  <si>
    <t>Капак треба да поседују сертификат за ватроотпорност издат од стране овлашћеног тела за цео склоп коме припадају.</t>
  </si>
  <si>
    <t>10.17.</t>
  </si>
  <si>
    <t xml:space="preserve">противпожарни поклопац </t>
  </si>
  <si>
    <t>Набавка и уградња пп противдимног металног поклопца од декапираног лима за силаз у технички канал атестиран на ватроотпорност 90 минута.</t>
  </si>
  <si>
    <t>Поклопац се уграђује у конструкцију бетона у под од керамике. Поклопац извести као сендвич: челични лим ČО361обострано на потконструкцији, са одговарајућом противпожарном испуном.</t>
  </si>
  <si>
    <t>Завршна обрада поклопца - Све бојено заштитном бојом  , а потом бојом за метал у тону по избору пројектанта у боји  RAL 9006-мат.</t>
  </si>
  <si>
    <t>Оквир поклопца  радити такође  Č0361, завршно обрадити као крило - према шеми.</t>
  </si>
  <si>
    <t>По целом обиму налегања крила на опшив, уградити квалитетну термоекспондирајућу дихтунг траку у боји RAL 9006 компатибилну ватроотпорности врата.</t>
  </si>
  <si>
    <t>Поклопац опремити ручицом са шаркама.Статус поклопца стално забрављен.</t>
  </si>
  <si>
    <t>Извођач је дужан да  поднесе одговарајуће сигурносне атесте и сертификате о квалитету.</t>
  </si>
  <si>
    <t>ознака 4 у осмоуглу</t>
  </si>
  <si>
    <t>ПП поклопац</t>
  </si>
  <si>
    <t>10.16.</t>
  </si>
  <si>
    <t>отирач</t>
  </si>
  <si>
    <t xml:space="preserve">Набавка и уградња подног отирача. Отирач у улазном ветробрану , од гумених и челичних трака. </t>
  </si>
  <si>
    <t>Отирач у раму од стандардних "L" профила убетонираних у нивоу пода.</t>
  </si>
  <si>
    <t>подизна метална решетка</t>
  </si>
  <si>
    <t>зидарска мера 100/50 цм</t>
  </si>
  <si>
    <t>ознака РП у дуплом квадрату</t>
  </si>
  <si>
    <t>зидарска мера 100/100 цм</t>
  </si>
  <si>
    <t>10.18.</t>
  </si>
  <si>
    <t>Набавка, транспорт и уградња вентилационе решетке са хоризонтално распоређеним непокретним ламелама од пластифицираног челичног лима.</t>
  </si>
  <si>
    <t>Конструкција од кутијастог челичног профила 40/40мм.
Са унутрашње стране на конструкцију фиксирати заштитну мрежицу.</t>
  </si>
  <si>
    <t>Заштиту против корозије и бојити масном  бојом  два пута у белој боји.</t>
  </si>
  <si>
    <t>жалузина за вентилацију лифтовског језгра и таванског простора</t>
  </si>
  <si>
    <t>зидарска мера 40/30 цм</t>
  </si>
  <si>
    <t>Набавка и уградња ПВЦ олучних вертикала за одводњавање конденза из спољашњих клима уређаја.</t>
  </si>
  <si>
    <t>ПВЦ вертикале се постављају унутар термоизолације фасадних зидова, на њену спољашњу ивицу и обрађена је завршним слојем фасаде.</t>
  </si>
  <si>
    <t>=15,64*5+14,05*5</t>
  </si>
  <si>
    <t>=1,99*717,20-(0,50*1,80*(27,15+42,5+5,0*8+3,4)+1,4*0,5*(5,0*6+3,4*3+8,2+5,8*2)+3,1*42,5+7,8*5,0)</t>
  </si>
  <si>
    <t>=0,25*2,12*(1,95*2+3,75*4+3,95*6+0,85)+0,25*1,52*(20,12+11,15+40,7+2,52*5+2,32*6)+0,25*1,37*(2,52+3,73)+0,25*(0,4*1,65*2+0,29*1,29)+0,25*1,4*1,83</t>
  </si>
  <si>
    <t>=0,25*(2,77*(2,65+2,3+3,37+3,07+5,0+3,85+1,5+2,0+2,52+3,0*2)-(0,8*2,05+0,9*2,05))</t>
  </si>
  <si>
    <t>=0,25*(2,77*(2,65+2,3+3,37+3,07+5,0+3,85+1,5+2,0+2,52+3,0)-(0,8*2,05+0,9*2,05))</t>
  </si>
  <si>
    <t>=2,77*(0,25*0,5*20+0,2*0,8*2)*4</t>
  </si>
  <si>
    <t>=4*(2,77*0,2*0,2*4+0,25*0,2*2,05*2*9)+0,2*0,2*2,7*8+0,25*0,2*2,05*6*2</t>
  </si>
  <si>
    <t>=0,25*0,45*(4,47+8,11+5,4+5,72*5+3,83+5,62+4,22+5,7+1,77+5,73+5,15+4,47+5,72+3,38+3,91)+0,2*0,45*(6,68+2,9*2+6,55+2,4+5,37+2,95+1,65+2,95+3,29+2,56+6,55+8,18+1,65+2,2*2+2,7)+0,12*0,25*(1,5*9+2,9*2+6,55*2)</t>
  </si>
  <si>
    <t>=2*(0,25*0,45*(4,47+8,11+5,4+5,72*5+3,83+5,62+4,22+5,7+1,77+5,73+5,15+4,47+5,72+3,38+3,91)+0,2*0,45*(6,68+2,9*2+6,55+2,4+5,37+2,95+1,65+2,95+3,29+2,56+6,55+8,18+1,65+2,2*2+2,7)+0,12*0,25*(1,5*9+2,9*2+6,55*2))</t>
  </si>
  <si>
    <t>=0,25*0,45*(21,5*2+11,2*3+8,5*2+8,85)+0,2*0,45*(9,5+11,72+8,15+12,42*2+9,3+4,4*8+2,2*2+2,7)+0,25*0,35*(6,55*2+3,1*2)</t>
  </si>
  <si>
    <t>стубови и вертикални серклажи</t>
  </si>
  <si>
    <t>=1,9*(0,2*0,8*2+0,2*0,9*0,25*0,3*3+0,25*0,5*5)+2,77*0,25*0,5*6+2,5*0,25*0,5+2,77*0,25*0,2*12</t>
  </si>
  <si>
    <t>=0,2*2,5*(5,375+2,95+5,17+5,1+5,45*2+2,7+1,65*2+2,48+2,1*2+3,95+3,28+5,75+2,87+3,22+2,95+2,48*2)-0,20*(1,8*1,6*5+0,9*2,457+1,0*1,6*18+1,8*1,6*6+1,8*1,6*2+1,0*0,6*2+1,4*2,4*2)</t>
  </si>
  <si>
    <t>=0,2*2,5*(5,375+2,95+5,17+5,1+5,45*2+2,7+1,65*2+2,48+2,1*2+3,95+3,28+5,75+2,87+3,22+2,95+2,48*2)-0,2*(1,8*1,6*6+0,9*2,4*6+1,0*1,6*19+1,8*1,6*8+1,0*0,6*2+1,4*2,4*2)</t>
  </si>
  <si>
    <t>=2*0,2*2,5*(5,375+2,95+5,17+5,1+5,45*2+2,7+1,65*2+2,48+2,1*2+3,95+3,28+5,75+2,87+3,22+2,95+2,48*2)-2*0,2*(1,8*1,6*6+0,9*2,4*6+1,0*1,6*19+1,8*1,6*8+1,0*0,6*2+1,4*2,4*2)</t>
  </si>
  <si>
    <t>=0,20*(1,99*(3,95*2+6,09+1,0+3,72+2,95+0,6+2,56+0,375*2)+2,5*(8,17+5,37+2,657*2)+(2,5+1,99)/2*1,4*2+2,7*(2,95+2,7+2,95+2,9+3,3+3,1)-(1,8*1,0*8+1,0*0,6*2+1,0*1,6*8+1,0*1,05+1,8*1,0*2))</t>
  </si>
  <si>
    <t>=2,77*16+2,77*19*43+2,58*19</t>
  </si>
  <si>
    <t>=53,14+5,11+5,03+4,48+4,18+4,63*2+4,36+11,22+2,96</t>
  </si>
  <si>
    <t>цементна кошуљица д=5,0 цм</t>
  </si>
  <si>
    <t>подлога за паркет у подовима КИН 1, КИН 4, МКС 1, Е1, Е2</t>
  </si>
  <si>
    <t>=4,6+27,37+12,64+4,75+22,3+11,36+10,16+1,02+4,6+27,37+12,64+3,13+22,68+4,94+22,65+11,66+11,64+3,97+5,94+26,84+11,38+11,69+9,6+1,42+3,35+20,62+9,62+3,13+22,58+10,48</t>
  </si>
  <si>
    <t>=2*(4,6+27,37+12,64+4,75+22,3+11,36+10,16+1,02+4,6+27,37+12,64+3,13+22,68+4,94+22,65+11,66+11,64+3,97+5,94+26,84+11,38+11,69+9,6+1,42+3,35+20,62+9,62+3,13+22,58+10,48)</t>
  </si>
  <si>
    <t>=2,77*(8,9+19,21+9,84+13,86+13,85+10,25+9,83+19,27+9,23+10,26+14,4+12,78+5,1+10,08+22,17+8,72+13,25+7,4+15,68+10,51+10,34*2+23,97*2+8,83*2+15,17*2+6,62+20,15+6,28+19,85+10,73)-((1,8*1,6+0,9*2,4)*5+1,5*2,1+1,5*2,35*2+1,5*2,05*2-3,0*10)</t>
  </si>
  <si>
    <t>=2,77*(3,94+4,15+3,65+1,65+3,73+4,4+69,19+10,69+4,47+5,29+3,8*2)-(2,8*2,67-3,0)</t>
  </si>
  <si>
    <t>=2,77*(3,94+4,15+3,65+1,65+3,73+3,7+65,89+3,8*2)</t>
  </si>
  <si>
    <t>=2,77*(3,94+4,15+3,65+1,65+3,73+3,7+65,89+3,8*2)*2</t>
  </si>
  <si>
    <t>=(2,77+2,50)/2*(3,94+4,15+3,65+1,65+3,73+3,7+3,8*2)+2,77*65,89</t>
  </si>
  <si>
    <t>=2,1*(3,95*2+6,09+1,0+3,72+2,95+0,6+2,56+0,375*22,62+2,8+3,15+2,8+2,72+1,7+3,92+1,63)+2,5*(8,17+5,37+2,657*2)+(2,5+1,99)/2*1,4*2+2,7*(2,95+2,7+2,95+2,9+3,3+3,1+6,50*2*2)-(2,7*2,4*6+1,0*1,6*10+1,8*1,0*6+1,8*1,6*3+1,0*1,0*8+1,8*1,0*6+1,0*0,6*2)</t>
  </si>
  <si>
    <t>Облагање извести у тракама међусобно спојеним дуплим стојећим превојем у правцу пада крова и дуплим лежећим у хоризонталном правцу.</t>
  </si>
  <si>
    <t>Облагање зидова извести са свим фазонским елементима за опшивање за овакву врсту радова и то је саставни део позиције.</t>
  </si>
  <si>
    <t>=23,27+1,31*1,0+1,13*(1,13*2+1,0*2)+0,3*19,38</t>
  </si>
  <si>
    <t>=(0,70*2+0,7*2+1,5)*(5,45*2*2+5,75*2*2+2,95*2+5,315*2)</t>
  </si>
  <si>
    <t>=(3,51*6+4,1+4,2)*3+0,3*(8,27*6+8,0+8,27)*2</t>
  </si>
  <si>
    <t>=2,77*(29,05*2-2,85-2,88+1,65*2+2,38+2,9+4,4+5,3+6,60*2)-(1,0*2,1*9+1,18*2,05)</t>
  </si>
  <si>
    <t>=2,77*(61,90+3,8*2)-(2,85*2,4+1,18*2,4+1,0*2,1*10)</t>
  </si>
  <si>
    <t>=2,77*(61,9+3,8*2)*3-(2,85*2,4+1,18*2,4+1,0*2,1*10)*3</t>
  </si>
  <si>
    <t>=53,35+60,06+52,94+34,24+67,71+78,79+42,07+44,35</t>
  </si>
  <si>
    <t>Набавка материјала, транспорт и опшивање крова ОСБ плочама дебљине д=18 мм. Плоче се фиксирају за рогове.</t>
  </si>
  <si>
    <t xml:space="preserve">Набавка материјала, транспорт и израда подлоге за олук ОСБ плочама дебљине д=18 мм. </t>
  </si>
  <si>
    <t xml:space="preserve">Ревизиони отвор мора бити отпоран на ватру 60 минута, са атестом акредитоване лабораторије на захтевану ватроотпорност, као и извештај овлашћене институције  за испитивање материјала у свему према SRPS U.J1 090 . </t>
  </si>
  <si>
    <t>=51,31+12,63</t>
  </si>
  <si>
    <t>=51,31*2</t>
  </si>
  <si>
    <t>=4,12+4,17+4,12+4,0*2+5,06+1,56+5,78+2,04+0,2*(11,08+6,04+9,25+5,13+8,25+8,25+8,37+10,6+8,37+6,08)+1,8*(0,8*2*7+1,65*7)</t>
  </si>
  <si>
    <t>=4,0*2+5,06+1,56+2,04+4,26+4,12+4,36+1,46+4,12+0,2*(8,37+8,36+4,86+8,37+8,45+9,25+5,13+11,08+6,04+8,33+8,25)+1,8*(0,8*2*8+1,65*8)</t>
  </si>
  <si>
    <t>=2*(4,0*2+5,06+1,56+2,04+4,26+4,12+4,36+1,46+4,12+0,2*(8,37+8,36+4,86+8,37+8,45+9,25+5,13+11,08+6,04+8,33+8,25)+1,8*(0,8*2*8+1,65*8))</t>
  </si>
  <si>
    <t>=3,13+4,34</t>
  </si>
  <si>
    <t>=4,12+4,17+4,12+4,0*2+5,06+1,56+5,78+2,04</t>
  </si>
  <si>
    <t>=4,0*2+5,06+1,56+2,04+4,26+4,12+4,36+1,46+4,12</t>
  </si>
  <si>
    <t xml:space="preserve">Набавка материјала, транспорт и израда опшивке венца на коти +2,95. </t>
  </si>
  <si>
    <t>=9,73*1,4*2</t>
  </si>
  <si>
    <t>=51,36+12,63+2,63+23,27</t>
  </si>
  <si>
    <t>=51,51+2,85*1,25</t>
  </si>
  <si>
    <t>=(51,51+2,85*1,25)*2</t>
  </si>
  <si>
    <t>керамичке плочице д=1,0 цм,  на лепку кухиње, купатила, тоалети и техничке просторије</t>
  </si>
  <si>
    <t>=4,12+4,17+4,12+4,0*2+5,06+1,56+5,78+2,04+4,63+4,62+4,63+4,13+5,03+5,11</t>
  </si>
  <si>
    <t>=4,0*2+5,06+1,56+2,04+4,26+4,12+4,36+1,46+4,12+4,13+4,46+5,04+5,78+4,34+4,63+4,17+4,63</t>
  </si>
  <si>
    <t>=2*(4,0*2+5,06+1,56+2,04+4,26+4,12+4,36+1,46+4,12+4,13+4,46+5,04+5,78+4,34+4,63+4,17+4,63)</t>
  </si>
  <si>
    <t>=3,51*4+4,1+4,2</t>
  </si>
  <si>
    <t>=3,51*6+4,1+4,2</t>
  </si>
  <si>
    <t>=(3,51*6+4,1+4,2)*3</t>
  </si>
  <si>
    <t>=8,83+8,42+8,83+8,25+8,72+9,23+10,0</t>
  </si>
  <si>
    <t>=8,37+8,72+10,0+9,23+8,54+8,83+8,6+8,83</t>
  </si>
  <si>
    <t>=(8,37+8,72+10,0+9,23+8,54+8,83+8,6+8,83)*2</t>
  </si>
  <si>
    <t>=66,69+2,85+2*1,25</t>
  </si>
  <si>
    <t>=(66,69+2,85+2*1,25)*2</t>
  </si>
  <si>
    <t>=66,69+16,72+6,78+19,38+2,85+2*1,25</t>
  </si>
  <si>
    <t>=8,27*4+8+8,27</t>
  </si>
  <si>
    <t>=8,27*6+8+8,27</t>
  </si>
  <si>
    <t>=(8,27*6+8+8,27)*2</t>
  </si>
  <si>
    <t>=2,4*(11,08+6,04+9,25+5,13+8,25+8,25+8,37+10,6+8,37+6,08)-(0,8*2,05*10+1,0*0,6*2-0,5*12)</t>
  </si>
  <si>
    <t>=2,4*(8,37+8,36+4,86+8,37+8,45+9,25+5,13+11,08+6,04+8,33+8,25)-(0,8*2,05*11+1,0*0,6*2-0,5*13)</t>
  </si>
  <si>
    <t>=5*4,0</t>
  </si>
  <si>
    <t>=2*2,4*(8,37+8,36+4,86+8,37+8,45+9,25+5,13+11,08+6,04+8,33+8,25)-2*(0,8*2,05*11+1*0,6*2-0,5*13)</t>
  </si>
  <si>
    <t>улазни портал и зидани парапети тераса</t>
  </si>
  <si>
    <t>=(0,15*2+0,55*2)*9,73+(0,4*2+0,15*2)*2,9</t>
  </si>
  <si>
    <t>=0,30*((1,4*2+2,7)*5+1,1+1,99+1,03+2,73*2+1,03+1,98)+2,72*((0,3*2+0,8*2)*2+1,23+0,35)+(3,0*1,2+0,15*1,2*2+0,15*3,0*2)*5</t>
  </si>
  <si>
    <t>терасе, парапети тераса</t>
  </si>
  <si>
    <t>бојење еркера</t>
  </si>
  <si>
    <t>Уградњу вршити у свему према, упутствима, технологији и спецификацији произвођача.</t>
  </si>
  <si>
    <t>зидови рампе и степеништа</t>
  </si>
  <si>
    <t>инсталациони каналаи у  крову и изнад крова</t>
  </si>
  <si>
    <t xml:space="preserve"> инсталациони канали у  крову и изнад крова</t>
  </si>
  <si>
    <t>=7+8*4+1</t>
  </si>
  <si>
    <t>Набавка материјала, транспорт и покривање кровова равним, поцинкованим, пластифицираним челичним лимом дебљине д=0,6 мм, преко подлоге од ОСБ плоча (посебно обрачунато).</t>
  </si>
  <si>
    <t>Набавка материјала, транспорт и облагање зидова поткровља поцинкованим, пластифицираним челичним лимом дебљине д=0,6 мм, преко подлоге од ОСБ плоча (посебно обрачунато).</t>
  </si>
  <si>
    <t>Набавка материјала, израда и уградња надстрешнице над улазом у објекат.</t>
  </si>
  <si>
    <t>Конструкција надстрешница је израђена од челичних ХОП профила димензија 50/100/4 мм, који се постављају на осовинском размаку од 90 до 100 цм (према графичкој документацији).</t>
  </si>
  <si>
    <t>Профили се у конструкцију анкерују преко анкер плочица, које се постављају пре израде термоизолације и завршног фасадног слоја.</t>
  </si>
  <si>
    <t>Монтажа челичне конструкције се мора извести у свему према техничкој документацији и важећим прописима за ову врсту радова.</t>
  </si>
  <si>
    <t>Антикорозивну заштиту урадити у свему према "Правилнику о заштити од корозије". Комплетну челичну конструкцију заштитити адекватним премазима .</t>
  </si>
  <si>
    <t>У цену улазе и сва спојна средства, завртњи, лимови и сл.</t>
  </si>
  <si>
    <t>Надстрешницу покрити двослојним поликарбонатним плочама дебљине д=10 мм, преко сопствене потконструкције. Ивице затворити перфорираним тракама.</t>
  </si>
  <si>
    <t>Радити у свему према спецификацији произвођача поликарбонатних плоча..</t>
  </si>
  <si>
    <t>Обрачун по м² израђене, уграђене и финално обрађене надстрешнице .</t>
  </si>
  <si>
    <t>16.8.</t>
  </si>
  <si>
    <t>Набавка материјала и уградња ПВЦ лулица за одвод воде из инсталационог канала испод кухиња и купатила.</t>
  </si>
  <si>
    <t>ПВЦ лулице Ø50 се варе за хидроизолациону мембрану канала.</t>
  </si>
  <si>
    <t>Радити у свему према спецификацији произвођача лулица и хидроизолације.</t>
  </si>
  <si>
    <t>Обрачун по комаду лулице.</t>
  </si>
  <si>
    <t>16.9.</t>
  </si>
  <si>
    <t>8.7.1.</t>
  </si>
  <si>
    <t>прагови димензија 80/12/3 цм</t>
  </si>
  <si>
    <t>8.7.2.</t>
  </si>
  <si>
    <t>ознака 5a у дуплом квадрату</t>
  </si>
  <si>
    <t>евакуациона врата са жалузином</t>
  </si>
  <si>
    <t>Набавка материјала, транспорт и уградња храстових прагова код врата на улазу у станове и у санитарне чворове.</t>
  </si>
  <si>
    <t>1.2.</t>
  </si>
  <si>
    <t>1.7.</t>
  </si>
  <si>
    <t>укупно Пос 2.12.</t>
  </si>
  <si>
    <t>2.14.</t>
  </si>
  <si>
    <t>2.17.1.</t>
  </si>
  <si>
    <t>2.17.2.</t>
  </si>
  <si>
    <t>2.18.3.</t>
  </si>
  <si>
    <t>2.22.1.</t>
  </si>
  <si>
    <t>2.22.2.</t>
  </si>
  <si>
    <t>2.23.3.</t>
  </si>
  <si>
    <t>2.23.4.</t>
  </si>
  <si>
    <t>укупно Пос 4.4.</t>
  </si>
  <si>
    <t>4.5.</t>
  </si>
  <si>
    <t>укупно Пос 4.7.</t>
  </si>
  <si>
    <t>4.9.1.</t>
  </si>
  <si>
    <t>4.9.2.</t>
  </si>
  <si>
    <t>укупно Пос 4.9.2.</t>
  </si>
  <si>
    <t>4.111.</t>
  </si>
  <si>
    <t>4.12.1.</t>
  </si>
  <si>
    <t>укупно Пос 4.12.1.</t>
  </si>
  <si>
    <t>4.12.2.</t>
  </si>
  <si>
    <t>4.12.3.</t>
  </si>
  <si>
    <t>укупно Пос 4.13.2.</t>
  </si>
  <si>
    <t>4.13.4.</t>
  </si>
  <si>
    <t>укупно Пос 4.13.4.</t>
  </si>
  <si>
    <t>укупно Пос 4.15.</t>
  </si>
  <si>
    <t>укупно Пос 4.17.</t>
  </si>
  <si>
    <t>6.3.1.</t>
  </si>
  <si>
    <t>6.4.1.</t>
  </si>
  <si>
    <t>6.4.2.</t>
  </si>
  <si>
    <t>укупно Пос 6.4.</t>
  </si>
  <si>
    <t>6.5.</t>
  </si>
  <si>
    <t>6.12.</t>
  </si>
  <si>
    <t>укупно Пос 6.16.</t>
  </si>
  <si>
    <t>6.18.</t>
  </si>
  <si>
    <t>укупно Пос 6.18.</t>
  </si>
  <si>
    <t>укупно Пос 7.1.2.</t>
  </si>
  <si>
    <t>укупно Пос 7.2.1.</t>
  </si>
  <si>
    <t>укупно Пос 7.2.3.</t>
  </si>
  <si>
    <t>7.4.1.</t>
  </si>
  <si>
    <t>7.4.2.</t>
  </si>
  <si>
    <t>7.6.</t>
  </si>
  <si>
    <t>9.2.5.</t>
  </si>
  <si>
    <t>9.2.6.</t>
  </si>
  <si>
    <t>9.2.7.</t>
  </si>
  <si>
    <t>10.3.3.</t>
  </si>
  <si>
    <t>10.6.1.</t>
  </si>
  <si>
    <t>10.6.2.</t>
  </si>
  <si>
    <t>10.6.3.</t>
  </si>
  <si>
    <t>10.9.2.</t>
  </si>
  <si>
    <t>10.9.3.</t>
  </si>
  <si>
    <t>10.9.5.</t>
  </si>
  <si>
    <t>10.9.6.</t>
  </si>
  <si>
    <t>10.9.4.</t>
  </si>
  <si>
    <t>10.8.8.</t>
  </si>
  <si>
    <t>10.19.</t>
  </si>
  <si>
    <t>11.14.</t>
  </si>
  <si>
    <t>укупно Пос 12.1.1.</t>
  </si>
  <si>
    <t>укупно Пос 12.2.3.</t>
  </si>
  <si>
    <t>12.4.2.</t>
  </si>
  <si>
    <t>укупно Пос 12.4.2.</t>
  </si>
  <si>
    <t>укупно Пос 16.9.</t>
  </si>
  <si>
    <t>плафон од влагоотпорних гипс картонских плоча, спуштање 26 цм, КИН 2, КИН 5, МКС 2, Т 2</t>
  </si>
  <si>
    <t xml:space="preserve">Кровни прозор је направљен од нордијске боровине са петоструком ламинацијом и стаклом 4+16+4 мм, са унутрашњим флотираним и спољашњим каљеним стаклом и испуном од аргона. </t>
  </si>
  <si>
    <t>Премазан је једним слојем акрилног лака на бази воде.</t>
  </si>
  <si>
    <t>Набавка материјала и заштита бетонских површина. Извршити заштиту заштитним премазом у боји - Сикагард 680 С Бетонколор.</t>
  </si>
  <si>
    <t>Београд, ___________ 2018.</t>
  </si>
  <si>
    <t>ПОНУЂАЧ</t>
  </si>
  <si>
    <t>Назив и седиште фирме:</t>
  </si>
  <si>
    <t>М.П</t>
  </si>
  <si>
    <t>Одговорно лице:</t>
  </si>
  <si>
    <t xml:space="preserve">ПРЕДМЕР  РАДОВА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</si>
</sst>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Din.&quot;_-;\-* #,##0.00\ &quot;Din.&quot;_-;_-* &quot;-&quot;??\ &quot;Din.&quot;_-;_-@_-"/>
    <numFmt numFmtId="164" formatCode="#,##0.000"/>
  </numFmts>
  <fonts count="15" x14ac:knownFonts="1">
    <font>
      <sz val="10"/>
      <name val="Arial"/>
      <family val="2"/>
      <charset val="238"/>
    </font>
    <font>
      <b/>
      <sz val="12"/>
      <name val="Arial"/>
      <family val="2"/>
    </font>
    <font>
      <sz val="10"/>
      <name val="Arial"/>
      <family val="2"/>
    </font>
    <font>
      <sz val="12"/>
      <name val="Arial"/>
      <family val="2"/>
    </font>
    <font>
      <sz val="8"/>
      <name val="Arial"/>
      <family val="2"/>
    </font>
    <font>
      <sz val="8"/>
      <name val="Yu Arial"/>
      <family val="2"/>
    </font>
    <font>
      <sz val="14"/>
      <name val="Arial"/>
      <family val="2"/>
    </font>
    <font>
      <sz val="11"/>
      <color indexed="8"/>
      <name val="Calibri"/>
      <family val="2"/>
    </font>
    <font>
      <b/>
      <sz val="10"/>
      <name val="Arial"/>
      <family val="2"/>
    </font>
    <font>
      <sz val="9"/>
      <name val="Arial"/>
      <family val="2"/>
    </font>
    <font>
      <i/>
      <sz val="10"/>
      <name val="Arial"/>
      <family val="2"/>
    </font>
    <font>
      <sz val="11"/>
      <name val="Arial"/>
      <family val="2"/>
    </font>
    <font>
      <sz val="10"/>
      <color theme="1"/>
      <name val="Arial"/>
      <family val="2"/>
    </font>
    <font>
      <sz val="10"/>
      <name val="Calibri"/>
      <family val="2"/>
    </font>
    <font>
      <sz val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60">
    <border>
      <left/>
      <right/>
      <top/>
      <bottom/>
      <diagonal/>
    </border>
    <border>
      <left style="thin">
        <color theme="1" tint="0.34998626667073579"/>
      </left>
      <right style="thin">
        <color theme="1" tint="0.34998626667073579"/>
      </right>
      <top/>
      <bottom/>
      <diagonal/>
    </border>
    <border>
      <left style="medium">
        <color theme="1" tint="0.34998626667073579"/>
      </left>
      <right style="medium">
        <color theme="1" tint="0.34998626667073579"/>
      </right>
      <top style="medium">
        <color theme="1" tint="0.34998626667073579"/>
      </top>
      <bottom style="medium">
        <color theme="1" tint="0.34998626667073579"/>
      </bottom>
      <diagonal/>
    </border>
    <border>
      <left/>
      <right style="thin">
        <color theme="1" tint="0.499984740745262"/>
      </right>
      <top/>
      <bottom/>
      <diagonal/>
    </border>
    <border>
      <left style="thin">
        <color theme="1" tint="0.34998626667073579"/>
      </left>
      <right style="thin">
        <color theme="1" tint="0.34998626667073579"/>
      </right>
      <top style="medium">
        <color theme="1" tint="0.34998626667073579"/>
      </top>
      <bottom/>
      <diagonal/>
    </border>
    <border>
      <left style="thin">
        <color theme="1" tint="0.34998626667073579"/>
      </left>
      <right style="medium">
        <color theme="1" tint="0.34998626667073579"/>
      </right>
      <top/>
      <bottom/>
      <diagonal/>
    </border>
    <border>
      <left style="thin">
        <color theme="1" tint="0.34998626667073579"/>
      </left>
      <right style="thin">
        <color theme="1" tint="0.34998626667073579"/>
      </right>
      <top style="medium">
        <color theme="1" tint="0.34998626667073579"/>
      </top>
      <bottom style="medium">
        <color theme="1" tint="0.34998626667073579"/>
      </bottom>
      <diagonal/>
    </border>
    <border>
      <left style="thin">
        <color theme="1" tint="0.34998626667073579"/>
      </left>
      <right style="thin">
        <color theme="1" tint="0.34998626667073579"/>
      </right>
      <top style="medium">
        <color theme="1" tint="0.34998626667073579"/>
      </top>
      <bottom style="thin">
        <color theme="1" tint="0.34998626667073579"/>
      </bottom>
      <diagonal/>
    </border>
    <border>
      <left style="thin">
        <color theme="1" tint="0.34998626667073579"/>
      </left>
      <right style="thin">
        <color theme="1" tint="0.34998626667073579"/>
      </right>
      <top style="thin">
        <color theme="1" tint="0.34998626667073579"/>
      </top>
      <bottom style="medium">
        <color theme="1" tint="0.34998626667073579"/>
      </bottom>
      <diagonal/>
    </border>
    <border>
      <left style="medium">
        <color theme="1" tint="0.34998626667073579"/>
      </left>
      <right/>
      <top style="medium">
        <color theme="1" tint="0.34998626667073579"/>
      </top>
      <bottom style="medium">
        <color theme="1" tint="0.34998626667073579"/>
      </bottom>
      <diagonal/>
    </border>
    <border>
      <left/>
      <right/>
      <top style="medium">
        <color theme="1" tint="0.34998626667073579"/>
      </top>
      <bottom style="medium">
        <color theme="1" tint="0.34998626667073579"/>
      </bottom>
      <diagonal/>
    </border>
    <border>
      <left/>
      <right style="medium">
        <color theme="1" tint="0.34998626667073579"/>
      </right>
      <top style="medium">
        <color theme="1" tint="0.34998626667073579"/>
      </top>
      <bottom style="medium">
        <color theme="1" tint="0.34998626667073579"/>
      </bottom>
      <diagonal/>
    </border>
    <border>
      <left style="thin">
        <color theme="1" tint="0.34998626667073579"/>
      </left>
      <right style="thin">
        <color theme="1" tint="0.34998626667073579"/>
      </right>
      <top/>
      <bottom style="medium">
        <color theme="1" tint="0.34998626667073579"/>
      </bottom>
      <diagonal/>
    </border>
    <border>
      <left style="medium">
        <color theme="1" tint="0.34998626667073579"/>
      </left>
      <right/>
      <top/>
      <bottom style="medium">
        <color theme="1" tint="0.34998626667073579"/>
      </bottom>
      <diagonal/>
    </border>
    <border>
      <left/>
      <right/>
      <top/>
      <bottom style="medium">
        <color theme="1" tint="0.34998626667073579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theme="0" tint="-0.24994659260841701"/>
      </left>
      <right style="thin">
        <color theme="0" tint="-0.24994659260841701"/>
      </right>
      <top/>
      <bottom/>
      <diagonal/>
    </border>
    <border>
      <left/>
      <right style="thin">
        <color theme="1" tint="0.34998626667073579"/>
      </right>
      <top/>
      <bottom/>
      <diagonal/>
    </border>
    <border>
      <left style="thin">
        <color theme="1" tint="0.24994659260841701"/>
      </left>
      <right style="thin">
        <color theme="1" tint="0.24994659260841701"/>
      </right>
      <top/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/>
      <diagonal/>
    </border>
    <border>
      <left style="thin">
        <color indexed="22"/>
      </left>
      <right style="thin">
        <color indexed="22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0" tint="-0.499984740745262"/>
      </left>
      <right style="thin">
        <color theme="0" tint="-0.499984740745262"/>
      </right>
      <top/>
      <bottom/>
      <diagonal/>
    </border>
    <border>
      <left style="thin">
        <color indexed="64"/>
      </left>
      <right style="thin">
        <color auto="1"/>
      </right>
      <top/>
      <bottom/>
      <diagonal/>
    </border>
    <border>
      <left style="medium">
        <color auto="1"/>
      </left>
      <right style="thin">
        <color theme="1" tint="0.34998626667073579"/>
      </right>
      <top/>
      <bottom/>
      <diagonal/>
    </border>
    <border>
      <left style="thin">
        <color theme="1" tint="0.34998626667073579"/>
      </left>
      <right style="medium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theme="1" tint="0.34998626667073579"/>
      </bottom>
      <diagonal/>
    </border>
    <border>
      <left/>
      <right style="medium">
        <color auto="1"/>
      </right>
      <top/>
      <bottom style="medium">
        <color theme="1" tint="0.34998626667073579"/>
      </bottom>
      <diagonal/>
    </border>
    <border>
      <left style="medium">
        <color auto="1"/>
      </left>
      <right style="medium">
        <color theme="1" tint="0.34998626667073579"/>
      </right>
      <top style="medium">
        <color theme="1" tint="0.34998626667073579"/>
      </top>
      <bottom style="medium">
        <color theme="1" tint="0.34998626667073579"/>
      </bottom>
      <diagonal/>
    </border>
    <border>
      <left/>
      <right style="medium">
        <color auto="1"/>
      </right>
      <top style="medium">
        <color theme="1" tint="0.34998626667073579"/>
      </top>
      <bottom style="medium">
        <color theme="1" tint="0.34998626667073579"/>
      </bottom>
      <diagonal/>
    </border>
    <border>
      <left style="medium">
        <color theme="1" tint="0.34998626667073579"/>
      </left>
      <right style="medium">
        <color auto="1"/>
      </right>
      <top style="medium">
        <color theme="1" tint="0.34998626667073579"/>
      </top>
      <bottom style="medium">
        <color theme="1" tint="0.34998626667073579"/>
      </bottom>
      <diagonal/>
    </border>
    <border>
      <left style="medium">
        <color auto="1"/>
      </left>
      <right style="medium">
        <color theme="1" tint="0.34998626667073579"/>
      </right>
      <top/>
      <bottom style="medium">
        <color theme="1" tint="0.34998626667073579"/>
      </bottom>
      <diagonal/>
    </border>
    <border>
      <left style="medium">
        <color auto="1"/>
      </left>
      <right style="thin">
        <color theme="1" tint="0.34998626667073579"/>
      </right>
      <top/>
      <bottom style="medium">
        <color theme="1" tint="0.34998626667073579"/>
      </bottom>
      <diagonal/>
    </border>
    <border>
      <left style="thin">
        <color theme="1" tint="0.34998626667073579"/>
      </left>
      <right style="medium">
        <color auto="1"/>
      </right>
      <top/>
      <bottom style="medium">
        <color theme="1" tint="0.34998626667073579"/>
      </bottom>
      <diagonal/>
    </border>
    <border>
      <left style="thin">
        <color indexed="22"/>
      </left>
      <right style="thin">
        <color indexed="22"/>
      </right>
      <top/>
      <bottom style="medium">
        <color theme="1" tint="0.34998626667073579"/>
      </bottom>
      <diagonal/>
    </border>
    <border>
      <left style="thin">
        <color theme="0" tint="-0.499984740745262"/>
      </left>
      <right style="thin">
        <color theme="0" tint="-0.499984740745262"/>
      </right>
      <top/>
      <bottom style="medium">
        <color theme="1" tint="0.34998626667073579"/>
      </bottom>
      <diagonal/>
    </border>
    <border>
      <left style="medium">
        <color auto="1"/>
      </left>
      <right style="thin">
        <color theme="1" tint="0.34998626667073579"/>
      </right>
      <top/>
      <bottom style="medium">
        <color auto="1"/>
      </bottom>
      <diagonal/>
    </border>
    <border>
      <left style="thin">
        <color theme="1" tint="0.34998626667073579"/>
      </left>
      <right style="thin">
        <color theme="1" tint="0.34998626667073579"/>
      </right>
      <top/>
      <bottom style="medium">
        <color auto="1"/>
      </bottom>
      <diagonal/>
    </border>
    <border>
      <left style="thin">
        <color theme="1" tint="0.34998626667073579"/>
      </left>
      <right style="medium">
        <color auto="1"/>
      </right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indexed="22"/>
      </left>
      <right style="thin">
        <color indexed="22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theme="1" tint="0.34998626667073579"/>
      </right>
      <top style="medium">
        <color theme="1" tint="0.34998626667073579"/>
      </top>
      <bottom style="medium">
        <color theme="1" tint="0.34998626667073579"/>
      </bottom>
      <diagonal/>
    </border>
    <border>
      <left style="thin">
        <color theme="1" tint="0.34998626667073579"/>
      </left>
      <right style="medium">
        <color auto="1"/>
      </right>
      <top style="medium">
        <color theme="1" tint="0.34998626667073579"/>
      </top>
      <bottom style="thin">
        <color theme="1" tint="0.34998626667073579"/>
      </bottom>
      <diagonal/>
    </border>
    <border>
      <left style="thin">
        <color theme="1" tint="0.34998626667073579"/>
      </left>
      <right style="medium">
        <color auto="1"/>
      </right>
      <top style="thin">
        <color theme="1" tint="0.34998626667073579"/>
      </top>
      <bottom style="medium">
        <color theme="1" tint="0.34998626667073579"/>
      </bottom>
      <diagonal/>
    </border>
    <border>
      <left style="medium">
        <color auto="1"/>
      </left>
      <right style="thin">
        <color theme="1" tint="0.34998626667073579"/>
      </right>
      <top style="medium">
        <color theme="1" tint="0.34998626667073579"/>
      </top>
      <bottom/>
      <diagonal/>
    </border>
    <border>
      <left style="thin">
        <color theme="1" tint="0.34998626667073579"/>
      </left>
      <right style="medium">
        <color auto="1"/>
      </right>
      <top style="medium">
        <color theme="1" tint="0.34998626667073579"/>
      </top>
      <bottom/>
      <diagonal/>
    </border>
    <border>
      <left style="thin">
        <color theme="1" tint="0.34998626667073579"/>
      </left>
      <right style="medium">
        <color auto="1"/>
      </right>
      <top style="medium">
        <color theme="1" tint="0.34998626667073579"/>
      </top>
      <bottom style="medium">
        <color theme="1" tint="0.34998626667073579"/>
      </bottom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theme="1" tint="0.34998626667073579"/>
      </top>
      <bottom style="medium">
        <color theme="1" tint="0.34998626667073579"/>
      </bottom>
      <diagonal/>
    </border>
  </borders>
  <cellStyleXfs count="5">
    <xf numFmtId="4" fontId="0" fillId="0" borderId="0">
      <alignment vertical="top" wrapText="1"/>
    </xf>
    <xf numFmtId="0" fontId="7" fillId="0" borderId="0" applyFont="0" applyFill="0" applyBorder="0" applyAlignment="0" applyProtection="0"/>
    <xf numFmtId="0" fontId="2" fillId="0" borderId="0"/>
    <xf numFmtId="4" fontId="12" fillId="0" borderId="0"/>
    <xf numFmtId="44" fontId="14" fillId="0" borderId="0" applyFont="0" applyFill="0" applyBorder="0" applyAlignment="0" applyProtection="0"/>
  </cellStyleXfs>
  <cellXfs count="450">
    <xf numFmtId="4" fontId="0" fillId="0" borderId="0" xfId="0">
      <alignment vertical="top" wrapText="1"/>
    </xf>
    <xf numFmtId="4" fontId="2" fillId="0" borderId="0" xfId="0" applyFont="1" applyFill="1" applyBorder="1">
      <alignment vertical="top" wrapText="1"/>
    </xf>
    <xf numFmtId="4" fontId="2" fillId="0" borderId="0" xfId="0" applyFont="1" applyFill="1">
      <alignment vertical="top" wrapText="1"/>
    </xf>
    <xf numFmtId="2" fontId="2" fillId="0" borderId="0" xfId="0" applyNumberFormat="1" applyFont="1" applyFill="1">
      <alignment vertical="top" wrapText="1"/>
    </xf>
    <xf numFmtId="2" fontId="2" fillId="0" borderId="0" xfId="0" applyNumberFormat="1" applyFont="1" applyFill="1" applyAlignment="1">
      <alignment horizontal="left"/>
    </xf>
    <xf numFmtId="2" fontId="2" fillId="0" borderId="0" xfId="0" applyNumberFormat="1" applyFont="1" applyFill="1" applyAlignment="1">
      <alignment horizontal="left" wrapText="1"/>
    </xf>
    <xf numFmtId="4" fontId="4" fillId="0" borderId="0" xfId="0" applyFont="1" applyFill="1" applyAlignment="1">
      <alignment vertical="top" wrapText="1"/>
    </xf>
    <xf numFmtId="2" fontId="2" fillId="0" borderId="0" xfId="0" applyNumberFormat="1" applyFont="1" applyFill="1" applyAlignment="1">
      <alignment vertical="top" wrapText="1"/>
    </xf>
    <xf numFmtId="4" fontId="2" fillId="0" borderId="0" xfId="0" applyFont="1" applyFill="1" applyAlignment="1">
      <alignment vertical="top" wrapText="1"/>
    </xf>
    <xf numFmtId="0" fontId="2" fillId="0" borderId="0" xfId="0" applyNumberFormat="1" applyFont="1" applyFill="1" applyBorder="1" applyAlignment="1">
      <alignment wrapText="1"/>
    </xf>
    <xf numFmtId="4" fontId="2" fillId="0" borderId="0" xfId="0" applyNumberFormat="1" applyFont="1" applyFill="1" applyBorder="1" applyAlignment="1">
      <alignment wrapText="1"/>
    </xf>
    <xf numFmtId="4" fontId="2" fillId="0" borderId="0" xfId="0" applyNumberFormat="1" applyFont="1" applyFill="1" applyBorder="1" applyAlignment="1"/>
    <xf numFmtId="4" fontId="2" fillId="0" borderId="1" xfId="0" applyNumberFormat="1" applyFont="1" applyFill="1" applyBorder="1" applyAlignment="1"/>
    <xf numFmtId="4" fontId="2" fillId="0" borderId="0" xfId="0" quotePrefix="1" applyNumberFormat="1" applyFont="1" applyFill="1" applyBorder="1" applyAlignment="1"/>
    <xf numFmtId="0" fontId="2" fillId="0" borderId="0" xfId="0" applyNumberFormat="1" applyFont="1" applyFill="1" applyBorder="1" applyAlignment="1"/>
    <xf numFmtId="0" fontId="2" fillId="0" borderId="1" xfId="0" applyNumberFormat="1" applyFont="1" applyFill="1" applyBorder="1" applyAlignment="1"/>
    <xf numFmtId="0" fontId="2" fillId="0" borderId="1" xfId="0" applyNumberFormat="1" applyFont="1" applyFill="1" applyBorder="1" applyAlignment="1">
      <alignment horizontal="center"/>
    </xf>
    <xf numFmtId="2" fontId="2" fillId="0" borderId="1" xfId="0" quotePrefix="1" applyNumberFormat="1" applyFont="1" applyFill="1" applyBorder="1" applyAlignment="1"/>
    <xf numFmtId="4" fontId="2" fillId="0" borderId="1" xfId="0" applyNumberFormat="1" applyFont="1" applyFill="1" applyBorder="1" applyAlignment="1">
      <alignment horizontal="right"/>
    </xf>
    <xf numFmtId="4" fontId="2" fillId="0" borderId="1" xfId="0" quotePrefix="1" applyNumberFormat="1" applyFont="1" applyFill="1" applyBorder="1" applyAlignment="1"/>
    <xf numFmtId="4" fontId="2" fillId="0" borderId="1" xfId="0" applyNumberFormat="1" applyFont="1" applyFill="1" applyBorder="1" applyAlignment="1">
      <alignment wrapText="1"/>
    </xf>
    <xf numFmtId="4" fontId="2" fillId="0" borderId="1" xfId="0" applyNumberFormat="1" applyFont="1" applyFill="1" applyBorder="1" applyAlignment="1">
      <alignment vertical="top" wrapText="1"/>
    </xf>
    <xf numFmtId="0" fontId="2" fillId="0" borderId="1" xfId="0" applyNumberFormat="1" applyFont="1" applyFill="1" applyBorder="1" applyAlignment="1">
      <alignment horizontal="center" wrapText="1"/>
    </xf>
    <xf numFmtId="4" fontId="2" fillId="0" borderId="1" xfId="0" applyNumberFormat="1" applyFont="1" applyFill="1" applyBorder="1" applyAlignment="1">
      <alignment horizontal="right" wrapText="1"/>
    </xf>
    <xf numFmtId="4" fontId="2" fillId="0" borderId="1" xfId="0" quotePrefix="1" applyNumberFormat="1" applyFont="1" applyFill="1" applyBorder="1" applyAlignment="1">
      <alignment wrapText="1"/>
    </xf>
    <xf numFmtId="4" fontId="2" fillId="0" borderId="1" xfId="0" applyFont="1" applyFill="1" applyBorder="1" applyAlignment="1">
      <alignment vertical="top" wrapText="1"/>
    </xf>
    <xf numFmtId="4" fontId="2" fillId="0" borderId="1" xfId="0" quotePrefix="1" applyFont="1" applyFill="1" applyBorder="1" applyAlignment="1">
      <alignment vertical="top" wrapText="1"/>
    </xf>
    <xf numFmtId="4" fontId="2" fillId="0" borderId="1" xfId="0" applyFont="1" applyFill="1" applyBorder="1" applyAlignment="1">
      <alignment horizontal="center" vertical="top" wrapText="1"/>
    </xf>
    <xf numFmtId="4" fontId="2" fillId="0" borderId="1" xfId="0" applyNumberFormat="1" applyFont="1" applyFill="1" applyBorder="1" applyAlignment="1">
      <alignment horizontal="left" vertical="top" wrapText="1"/>
    </xf>
    <xf numFmtId="4" fontId="2" fillId="0" borderId="1" xfId="0" quotePrefix="1" applyFont="1" applyFill="1" applyBorder="1" applyAlignment="1">
      <alignment horizontal="right" wrapText="1"/>
    </xf>
    <xf numFmtId="4" fontId="2" fillId="0" borderId="1" xfId="0" applyNumberFormat="1" applyFont="1" applyFill="1" applyBorder="1">
      <alignment vertical="top" wrapText="1"/>
    </xf>
    <xf numFmtId="4" fontId="2" fillId="0" borderId="1" xfId="0" quotePrefix="1" applyNumberFormat="1" applyFont="1" applyFill="1" applyBorder="1">
      <alignment vertical="top" wrapText="1"/>
    </xf>
    <xf numFmtId="4" fontId="2" fillId="0" borderId="1" xfId="0" applyNumberFormat="1" applyFont="1" applyFill="1" applyBorder="1" applyAlignment="1">
      <alignment horizontal="center" vertical="center"/>
    </xf>
    <xf numFmtId="4" fontId="2" fillId="0" borderId="5" xfId="0" applyNumberFormat="1" applyFont="1" applyFill="1" applyBorder="1" applyAlignment="1"/>
    <xf numFmtId="4" fontId="2" fillId="0" borderId="5" xfId="0" applyNumberFormat="1" applyFont="1" applyFill="1" applyBorder="1" applyAlignment="1">
      <alignment horizontal="right"/>
    </xf>
    <xf numFmtId="0" fontId="2" fillId="0" borderId="1" xfId="0" applyNumberFormat="1" applyFont="1" applyFill="1" applyBorder="1" applyAlignment="1">
      <alignment wrapText="1"/>
    </xf>
    <xf numFmtId="4" fontId="2" fillId="0" borderId="1" xfId="0" applyNumberFormat="1" applyFont="1" applyFill="1" applyBorder="1" applyAlignment="1">
      <alignment horizontal="left" wrapText="1"/>
    </xf>
    <xf numFmtId="4" fontId="3" fillId="0" borderId="1" xfId="0" applyNumberFormat="1" applyFont="1" applyFill="1" applyBorder="1" applyAlignment="1"/>
    <xf numFmtId="0" fontId="2" fillId="0" borderId="1" xfId="0" applyNumberFormat="1" applyFont="1" applyFill="1" applyBorder="1" applyAlignment="1">
      <alignment horizontal="right" wrapText="1"/>
    </xf>
    <xf numFmtId="4" fontId="2" fillId="0" borderId="1" xfId="0" applyNumberFormat="1" applyFont="1" applyFill="1" applyBorder="1" applyAlignment="1">
      <alignment horizontal="right" vertical="center"/>
    </xf>
    <xf numFmtId="4" fontId="2" fillId="0" borderId="1" xfId="0" applyNumberFormat="1" applyFont="1" applyFill="1" applyBorder="1" applyAlignment="1">
      <alignment vertical="center"/>
    </xf>
    <xf numFmtId="4" fontId="2" fillId="0" borderId="1" xfId="0" applyFont="1" applyFill="1" applyBorder="1" applyAlignment="1">
      <alignment horizontal="center"/>
    </xf>
    <xf numFmtId="4" fontId="2" fillId="0" borderId="1" xfId="0" quotePrefix="1" applyNumberFormat="1" applyFont="1" applyFill="1" applyBorder="1" applyAlignment="1">
      <alignment vertical="center"/>
    </xf>
    <xf numFmtId="3" fontId="2" fillId="0" borderId="1" xfId="0" applyNumberFormat="1" applyFont="1" applyFill="1" applyBorder="1" applyAlignment="1">
      <alignment horizontal="left" vertical="center"/>
    </xf>
    <xf numFmtId="0" fontId="2" fillId="0" borderId="1" xfId="0" applyNumberFormat="1" applyFont="1" applyFill="1" applyBorder="1" applyAlignment="1">
      <alignment vertical="center" wrapText="1"/>
    </xf>
    <xf numFmtId="3" fontId="2" fillId="0" borderId="1" xfId="0" applyNumberFormat="1" applyFont="1" applyFill="1" applyBorder="1" applyAlignment="1">
      <alignment horizontal="right"/>
    </xf>
    <xf numFmtId="4" fontId="2" fillId="0" borderId="1" xfId="0" quotePrefix="1" applyNumberFormat="1" applyFont="1" applyFill="1" applyBorder="1" applyAlignment="1">
      <alignment horizontal="right" vertical="center"/>
    </xf>
    <xf numFmtId="4" fontId="2" fillId="0" borderId="7" xfId="0" applyFont="1" applyFill="1" applyBorder="1" applyAlignment="1">
      <alignment horizontal="center" vertical="center" wrapText="1"/>
    </xf>
    <xf numFmtId="4" fontId="2" fillId="0" borderId="8" xfId="0" applyFont="1" applyFill="1" applyBorder="1" applyAlignment="1">
      <alignment horizontal="center" wrapText="1"/>
    </xf>
    <xf numFmtId="0" fontId="3" fillId="0" borderId="9" xfId="0" applyNumberFormat="1" applyFont="1" applyFill="1" applyBorder="1" applyAlignment="1"/>
    <xf numFmtId="0" fontId="3" fillId="0" borderId="10" xfId="0" applyNumberFormat="1" applyFont="1" applyFill="1" applyBorder="1" applyAlignment="1"/>
    <xf numFmtId="0" fontId="3" fillId="0" borderId="11" xfId="0" applyNumberFormat="1" applyFont="1" applyFill="1" applyBorder="1" applyAlignment="1"/>
    <xf numFmtId="4" fontId="3" fillId="0" borderId="9" xfId="0" applyNumberFormat="1" applyFont="1" applyFill="1" applyBorder="1" applyAlignment="1">
      <alignment horizontal="left"/>
    </xf>
    <xf numFmtId="0" fontId="3" fillId="0" borderId="10" xfId="0" applyNumberFormat="1" applyFont="1" applyFill="1" applyBorder="1" applyAlignment="1">
      <alignment horizontal="left"/>
    </xf>
    <xf numFmtId="4" fontId="3" fillId="0" borderId="10" xfId="0" applyNumberFormat="1" applyFont="1" applyFill="1" applyBorder="1" applyAlignment="1">
      <alignment horizontal="left"/>
    </xf>
    <xf numFmtId="4" fontId="3" fillId="0" borderId="11" xfId="0" applyNumberFormat="1" applyFont="1" applyFill="1" applyBorder="1" applyAlignment="1">
      <alignment horizontal="left"/>
    </xf>
    <xf numFmtId="4" fontId="2" fillId="0" borderId="1" xfId="0" quotePrefix="1" applyNumberFormat="1" applyFont="1" applyFill="1" applyBorder="1" applyAlignment="1">
      <alignment horizontal="right" wrapText="1"/>
    </xf>
    <xf numFmtId="0" fontId="3" fillId="0" borderId="11" xfId="0" applyNumberFormat="1" applyFont="1" applyFill="1" applyBorder="1" applyAlignment="1">
      <alignment horizontal="left"/>
    </xf>
    <xf numFmtId="4" fontId="6" fillId="0" borderId="9" xfId="0" applyNumberFormat="1" applyFont="1" applyFill="1" applyBorder="1" applyAlignment="1">
      <alignment horizontal="left"/>
    </xf>
    <xf numFmtId="0" fontId="1" fillId="0" borderId="10" xfId="0" applyNumberFormat="1" applyFont="1" applyFill="1" applyBorder="1" applyAlignment="1">
      <alignment horizontal="center"/>
    </xf>
    <xf numFmtId="0" fontId="3" fillId="0" borderId="14" xfId="0" applyNumberFormat="1" applyFont="1" applyFill="1" applyBorder="1" applyAlignment="1"/>
    <xf numFmtId="4" fontId="3" fillId="0" borderId="13" xfId="0" applyNumberFormat="1" applyFont="1" applyFill="1" applyBorder="1" applyAlignment="1">
      <alignment horizontal="left"/>
    </xf>
    <xf numFmtId="0" fontId="3" fillId="0" borderId="14" xfId="0" applyNumberFormat="1" applyFont="1" applyFill="1" applyBorder="1" applyAlignment="1">
      <alignment horizontal="left"/>
    </xf>
    <xf numFmtId="4" fontId="3" fillId="0" borderId="14" xfId="0" applyNumberFormat="1" applyFont="1" applyFill="1" applyBorder="1" applyAlignment="1">
      <alignment horizontal="left"/>
    </xf>
    <xf numFmtId="4" fontId="2" fillId="0" borderId="1" xfId="0" quotePrefix="1" applyFont="1" applyFill="1" applyBorder="1" applyAlignment="1">
      <alignment wrapText="1"/>
    </xf>
    <xf numFmtId="4" fontId="2" fillId="0" borderId="1" xfId="0" applyFont="1" applyFill="1" applyBorder="1" applyAlignment="1">
      <alignment wrapText="1"/>
    </xf>
    <xf numFmtId="4" fontId="2" fillId="0" borderId="1" xfId="0" applyFont="1" applyFill="1" applyBorder="1" applyAlignment="1">
      <alignment horizontal="center" wrapText="1"/>
    </xf>
    <xf numFmtId="4" fontId="2" fillId="0" borderId="1" xfId="0" applyFont="1" applyFill="1" applyBorder="1" applyAlignment="1"/>
    <xf numFmtId="4" fontId="2" fillId="0" borderId="4" xfId="0" applyFont="1" applyFill="1" applyBorder="1" applyAlignment="1">
      <alignment vertical="top" wrapText="1"/>
    </xf>
    <xf numFmtId="4" fontId="2" fillId="0" borderId="1" xfId="0" applyFont="1" applyFill="1" applyBorder="1" applyAlignment="1">
      <alignment horizontal="right" wrapText="1"/>
    </xf>
    <xf numFmtId="4" fontId="2" fillId="0" borderId="0" xfId="0" quotePrefix="1" applyFont="1" applyFill="1" applyBorder="1" applyAlignment="1">
      <alignment vertical="top" wrapText="1"/>
    </xf>
    <xf numFmtId="4" fontId="2" fillId="0" borderId="12" xfId="0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horizontal="left" vertical="top"/>
    </xf>
    <xf numFmtId="0" fontId="2" fillId="0" borderId="0" xfId="0" applyNumberFormat="1" applyFont="1" applyFill="1" applyBorder="1" applyAlignment="1">
      <alignment horizontal="left"/>
    </xf>
    <xf numFmtId="4" fontId="2" fillId="0" borderId="1" xfId="0" quotePrefix="1" applyNumberFormat="1" applyFont="1" applyFill="1" applyBorder="1" applyAlignment="1">
      <alignment horizontal="left" vertical="top" wrapText="1"/>
    </xf>
    <xf numFmtId="4" fontId="3" fillId="0" borderId="1" xfId="0" applyNumberFormat="1" applyFont="1" applyFill="1" applyBorder="1" applyAlignment="1">
      <alignment horizontal="left" wrapText="1"/>
    </xf>
    <xf numFmtId="4" fontId="2" fillId="0" borderId="1" xfId="0" quotePrefix="1" applyNumberFormat="1" applyFont="1" applyFill="1" applyBorder="1" applyAlignment="1">
      <alignment horizontal="right" vertical="top" wrapText="1"/>
    </xf>
    <xf numFmtId="4" fontId="3" fillId="0" borderId="1" xfId="0" applyNumberFormat="1" applyFont="1" applyFill="1" applyBorder="1" applyAlignment="1">
      <alignment wrapText="1"/>
    </xf>
    <xf numFmtId="4" fontId="2" fillId="0" borderId="1" xfId="0" quotePrefix="1" applyNumberFormat="1" applyFont="1" applyFill="1" applyBorder="1" applyAlignment="1">
      <alignment horizontal="left" wrapText="1"/>
    </xf>
    <xf numFmtId="4" fontId="2" fillId="0" borderId="1" xfId="0" applyFont="1" applyFill="1" applyBorder="1" applyAlignment="1">
      <alignment horizontal="left" vertical="center" wrapText="1"/>
    </xf>
    <xf numFmtId="0" fontId="2" fillId="0" borderId="1" xfId="0" applyNumberFormat="1" applyFont="1" applyFill="1" applyBorder="1" applyAlignment="1">
      <alignment horizontal="right" vertical="center"/>
    </xf>
    <xf numFmtId="4" fontId="2" fillId="0" borderId="1" xfId="0" quotePrefix="1" applyNumberFormat="1" applyFont="1" applyFill="1" applyBorder="1" applyAlignment="1">
      <alignment horizontal="right" vertical="center" wrapText="1"/>
    </xf>
    <xf numFmtId="4" fontId="2" fillId="0" borderId="0" xfId="0" applyFont="1" applyFill="1" applyBorder="1" applyAlignment="1">
      <alignment vertical="top" wrapText="1"/>
    </xf>
    <xf numFmtId="4" fontId="2" fillId="0" borderId="0" xfId="0" quotePrefix="1" applyFont="1" applyFill="1" applyBorder="1" applyAlignment="1">
      <alignment wrapText="1"/>
    </xf>
    <xf numFmtId="4" fontId="2" fillId="0" borderId="0" xfId="0" applyFont="1" applyFill="1" applyAlignment="1">
      <alignment vertical="top"/>
    </xf>
    <xf numFmtId="0" fontId="2" fillId="0" borderId="0" xfId="0" applyNumberFormat="1" applyFont="1" applyFill="1" applyBorder="1" applyAlignment="1">
      <alignment horizontal="center"/>
    </xf>
    <xf numFmtId="4" fontId="2" fillId="0" borderId="1" xfId="0" applyFont="1" applyFill="1" applyBorder="1" applyAlignment="1">
      <alignment vertical="top"/>
    </xf>
    <xf numFmtId="4" fontId="2" fillId="0" borderId="0" xfId="0" applyFont="1" applyFill="1" applyBorder="1" applyAlignment="1"/>
    <xf numFmtId="4" fontId="2" fillId="0" borderId="0" xfId="0" applyFont="1" applyFill="1" applyBorder="1" applyAlignment="1">
      <alignment wrapText="1"/>
    </xf>
    <xf numFmtId="0" fontId="2" fillId="0" borderId="1" xfId="0" applyNumberFormat="1" applyFont="1" applyFill="1" applyBorder="1" applyAlignment="1">
      <alignment horizontal="left"/>
    </xf>
    <xf numFmtId="4" fontId="2" fillId="0" borderId="1" xfId="0" quotePrefix="1" applyFont="1" applyFill="1" applyBorder="1" applyAlignment="1">
      <alignment vertical="top"/>
    </xf>
    <xf numFmtId="4" fontId="2" fillId="0" borderId="12" xfId="0" applyFont="1" applyFill="1" applyBorder="1" applyAlignment="1">
      <alignment horizontal="center" vertical="top" wrapText="1"/>
    </xf>
    <xf numFmtId="4" fontId="2" fillId="0" borderId="12" xfId="0" applyNumberFormat="1" applyFont="1" applyFill="1" applyBorder="1" applyAlignment="1"/>
    <xf numFmtId="0" fontId="2" fillId="0" borderId="12" xfId="0" applyNumberFormat="1" applyFont="1" applyFill="1" applyBorder="1" applyAlignment="1">
      <alignment horizontal="center"/>
    </xf>
    <xf numFmtId="4" fontId="2" fillId="0" borderId="12" xfId="0" applyNumberFormat="1" applyFont="1" applyFill="1" applyBorder="1" applyAlignment="1">
      <alignment horizontal="right"/>
    </xf>
    <xf numFmtId="4" fontId="2" fillId="0" borderId="0" xfId="0" applyNumberFormat="1" applyFont="1" applyFill="1" applyBorder="1">
      <alignment vertical="top" wrapText="1"/>
    </xf>
    <xf numFmtId="4" fontId="2" fillId="0" borderId="0" xfId="0" applyFont="1" applyFill="1" applyBorder="1" applyAlignment="1">
      <alignment horizontal="center" wrapText="1"/>
    </xf>
    <xf numFmtId="4" fontId="2" fillId="0" borderId="0" xfId="0" quotePrefix="1" applyNumberFormat="1" applyFont="1" applyFill="1" applyBorder="1" applyAlignment="1">
      <alignment wrapText="1"/>
    </xf>
    <xf numFmtId="4" fontId="2" fillId="0" borderId="0" xfId="0" applyFont="1" applyFill="1" applyBorder="1" applyAlignment="1">
      <alignment vertical="top"/>
    </xf>
    <xf numFmtId="4" fontId="2" fillId="0" borderId="0" xfId="0" applyNumberFormat="1" applyFont="1" applyFill="1" applyBorder="1" applyAlignment="1">
      <alignment horizontal="center"/>
    </xf>
    <xf numFmtId="4" fontId="10" fillId="0" borderId="1" xfId="0" applyFont="1" applyFill="1" applyBorder="1" applyAlignment="1">
      <alignment vertical="top" wrapText="1"/>
    </xf>
    <xf numFmtId="4" fontId="2" fillId="0" borderId="0" xfId="0" applyNumberFormat="1" applyFont="1" applyFill="1" applyBorder="1" applyAlignment="1">
      <alignment horizontal="right" wrapText="1"/>
    </xf>
    <xf numFmtId="4" fontId="3" fillId="0" borderId="10" xfId="0" applyNumberFormat="1" applyFont="1" applyFill="1" applyBorder="1" applyAlignment="1"/>
    <xf numFmtId="4" fontId="2" fillId="0" borderId="1" xfId="0" quotePrefix="1" applyFont="1" applyFill="1" applyBorder="1" applyAlignment="1"/>
    <xf numFmtId="4" fontId="10" fillId="0" borderId="0" xfId="0" applyFont="1" applyFill="1" applyBorder="1" applyAlignment="1">
      <alignment vertical="top" wrapText="1"/>
    </xf>
    <xf numFmtId="4" fontId="2" fillId="0" borderId="1" xfId="0" applyFont="1" applyFill="1" applyBorder="1" applyAlignment="1">
      <alignment horizontal="right"/>
    </xf>
    <xf numFmtId="4" fontId="2" fillId="0" borderId="1" xfId="0" applyNumberFormat="1" applyFont="1" applyFill="1" applyBorder="1" applyAlignment="1">
      <alignment horizontal="left"/>
    </xf>
    <xf numFmtId="4" fontId="2" fillId="0" borderId="0" xfId="0" applyNumberFormat="1" applyFont="1" applyFill="1" applyBorder="1" applyAlignment="1">
      <alignment horizontal="right"/>
    </xf>
    <xf numFmtId="4" fontId="10" fillId="0" borderId="0" xfId="0" quotePrefix="1" applyFont="1" applyFill="1" applyBorder="1" applyAlignment="1">
      <alignment vertical="top" wrapText="1"/>
    </xf>
    <xf numFmtId="2" fontId="2" fillId="0" borderId="1" xfId="0" applyNumberFormat="1" applyFont="1" applyFill="1" applyBorder="1" applyAlignment="1"/>
    <xf numFmtId="4" fontId="2" fillId="0" borderId="1" xfId="0" applyNumberFormat="1" applyFont="1" applyFill="1" applyBorder="1" applyAlignment="1">
      <alignment horizontal="left" vertical="center" wrapText="1"/>
    </xf>
    <xf numFmtId="0" fontId="2" fillId="0" borderId="1" xfId="0" quotePrefix="1" applyNumberFormat="1" applyFont="1" applyFill="1" applyBorder="1" applyAlignment="1">
      <alignment wrapText="1"/>
    </xf>
    <xf numFmtId="4" fontId="2" fillId="0" borderId="1" xfId="0" quotePrefix="1" applyFont="1" applyFill="1" applyBorder="1" applyAlignment="1">
      <alignment horizontal="right" vertical="top" wrapText="1"/>
    </xf>
    <xf numFmtId="4" fontId="2" fillId="0" borderId="1" xfId="0" applyNumberFormat="1" applyFont="1" applyFill="1" applyBorder="1" applyAlignment="1">
      <alignment horizontal="center"/>
    </xf>
    <xf numFmtId="3" fontId="2" fillId="0" borderId="1" xfId="0" applyNumberFormat="1" applyFont="1" applyFill="1" applyBorder="1" applyAlignment="1">
      <alignment wrapText="1"/>
    </xf>
    <xf numFmtId="4" fontId="2" fillId="0" borderId="1" xfId="0" applyFont="1" applyFill="1" applyBorder="1">
      <alignment vertical="top" wrapText="1"/>
    </xf>
    <xf numFmtId="3" fontId="2" fillId="0" borderId="1" xfId="0" applyNumberFormat="1" applyFont="1" applyFill="1" applyBorder="1" applyAlignment="1">
      <alignment vertical="top" wrapText="1"/>
    </xf>
    <xf numFmtId="3" fontId="2" fillId="0" borderId="1" xfId="0" quotePrefix="1" applyNumberFormat="1" applyFont="1" applyFill="1" applyBorder="1" applyAlignment="1">
      <alignment wrapText="1"/>
    </xf>
    <xf numFmtId="4" fontId="2" fillId="0" borderId="15" xfId="0" applyFont="1" applyFill="1" applyBorder="1" applyAlignment="1">
      <alignment horizontal="center" vertical="top" wrapText="1"/>
    </xf>
    <xf numFmtId="4" fontId="2" fillId="0" borderId="15" xfId="0" applyFont="1" applyFill="1" applyBorder="1" applyAlignment="1">
      <alignment vertical="top" wrapText="1"/>
    </xf>
    <xf numFmtId="4" fontId="9" fillId="0" borderId="15" xfId="0" applyFont="1" applyFill="1" applyBorder="1" applyAlignment="1">
      <alignment horizontal="center" vertical="top" wrapText="1"/>
    </xf>
    <xf numFmtId="4" fontId="2" fillId="0" borderId="15" xfId="0" applyFont="1" applyFill="1" applyBorder="1" applyAlignment="1">
      <alignment horizontal="center" vertical="top"/>
    </xf>
    <xf numFmtId="4" fontId="2" fillId="0" borderId="15" xfId="0" applyFont="1" applyFill="1" applyBorder="1" applyAlignment="1">
      <alignment horizontal="center"/>
    </xf>
    <xf numFmtId="4" fontId="3" fillId="0" borderId="1" xfId="0" applyNumberFormat="1" applyFont="1" applyFill="1" applyBorder="1" applyAlignment="1">
      <alignment horizontal="left"/>
    </xf>
    <xf numFmtId="4" fontId="2" fillId="0" borderId="16" xfId="0" applyNumberFormat="1" applyFont="1" applyFill="1" applyBorder="1" applyAlignment="1">
      <alignment horizontal="left" vertical="top" wrapText="1"/>
    </xf>
    <xf numFmtId="0" fontId="2" fillId="0" borderId="1" xfId="0" applyNumberFormat="1" applyFont="1" applyFill="1" applyBorder="1" applyAlignment="1">
      <alignment horizontal="left" vertical="top" wrapText="1"/>
    </xf>
    <xf numFmtId="2" fontId="2" fillId="0" borderId="1" xfId="0" applyNumberFormat="1" applyFont="1" applyFill="1" applyBorder="1" applyAlignment="1">
      <alignment horizontal="right"/>
    </xf>
    <xf numFmtId="4" fontId="2" fillId="0" borderId="0" xfId="0" applyNumberFormat="1" applyFont="1" applyFill="1" applyBorder="1" applyAlignment="1">
      <alignment horizontal="left" vertical="top" wrapText="1"/>
    </xf>
    <xf numFmtId="2" fontId="2" fillId="0" borderId="0" xfId="0" applyNumberFormat="1" applyFont="1" applyFill="1" applyAlignment="1">
      <alignment horizontal="right"/>
    </xf>
    <xf numFmtId="4" fontId="3" fillId="0" borderId="9" xfId="0" applyNumberFormat="1" applyFont="1" applyFill="1" applyBorder="1" applyAlignment="1"/>
    <xf numFmtId="4" fontId="3" fillId="0" borderId="11" xfId="0" applyNumberFormat="1" applyFont="1" applyFill="1" applyBorder="1" applyAlignment="1"/>
    <xf numFmtId="4" fontId="2" fillId="0" borderId="0" xfId="0" applyFont="1" applyFill="1" applyBorder="1" applyAlignment="1">
      <alignment horizontal="right"/>
    </xf>
    <xf numFmtId="4" fontId="3" fillId="0" borderId="6" xfId="0" applyNumberFormat="1" applyFont="1" applyFill="1" applyBorder="1" applyAlignment="1">
      <alignment horizontal="left"/>
    </xf>
    <xf numFmtId="0" fontId="3" fillId="0" borderId="6" xfId="0" applyNumberFormat="1" applyFont="1" applyFill="1" applyBorder="1" applyAlignment="1">
      <alignment horizontal="left"/>
    </xf>
    <xf numFmtId="4" fontId="2" fillId="0" borderId="16" xfId="0" applyNumberFormat="1" applyFont="1" applyFill="1" applyBorder="1" applyAlignment="1">
      <alignment vertical="top" wrapText="1"/>
    </xf>
    <xf numFmtId="4" fontId="2" fillId="0" borderId="16" xfId="0" applyNumberFormat="1" applyFont="1" applyFill="1" applyBorder="1" applyAlignment="1">
      <alignment wrapText="1"/>
    </xf>
    <xf numFmtId="4" fontId="8" fillId="0" borderId="0" xfId="0" applyFont="1" applyFill="1" applyAlignment="1">
      <alignment horizontal="center" vertical="center" wrapText="1"/>
    </xf>
    <xf numFmtId="4" fontId="2" fillId="0" borderId="0" xfId="0" applyNumberFormat="1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vertical="center" wrapText="1"/>
    </xf>
    <xf numFmtId="4" fontId="2" fillId="0" borderId="10" xfId="0" applyNumberFormat="1" applyFont="1" applyFill="1" applyBorder="1" applyAlignment="1">
      <alignment horizontal="right" wrapText="1"/>
    </xf>
    <xf numFmtId="4" fontId="2" fillId="0" borderId="0" xfId="0" quotePrefix="1" applyFont="1" applyFill="1" applyBorder="1" applyAlignment="1">
      <alignment vertical="top"/>
    </xf>
    <xf numFmtId="4" fontId="2" fillId="0" borderId="6" xfId="0" applyNumberFormat="1" applyFont="1" applyFill="1" applyBorder="1" applyAlignment="1">
      <alignment horizontal="right" wrapText="1"/>
    </xf>
    <xf numFmtId="0" fontId="3" fillId="0" borderId="1" xfId="0" applyNumberFormat="1" applyFont="1" applyFill="1" applyBorder="1" applyAlignment="1">
      <alignment horizontal="center" wrapText="1"/>
    </xf>
    <xf numFmtId="4" fontId="3" fillId="0" borderId="1" xfId="0" applyNumberFormat="1" applyFont="1" applyFill="1" applyBorder="1" applyAlignment="1">
      <alignment horizontal="right" wrapText="1"/>
    </xf>
    <xf numFmtId="4" fontId="3" fillId="0" borderId="0" xfId="0" applyFont="1" applyFill="1" applyAlignment="1">
      <alignment vertical="top" wrapText="1"/>
    </xf>
    <xf numFmtId="4" fontId="2" fillId="0" borderId="11" xfId="0" applyNumberFormat="1" applyFont="1" applyFill="1" applyBorder="1" applyAlignment="1">
      <alignment horizontal="right" wrapText="1"/>
    </xf>
    <xf numFmtId="4" fontId="2" fillId="0" borderId="14" xfId="0" applyNumberFormat="1" applyFont="1" applyFill="1" applyBorder="1" applyAlignment="1">
      <alignment horizontal="right" wrapText="1"/>
    </xf>
    <xf numFmtId="0" fontId="2" fillId="0" borderId="0" xfId="0" quotePrefix="1" applyNumberFormat="1" applyFont="1" applyFill="1" applyBorder="1" applyAlignment="1">
      <alignment wrapText="1"/>
    </xf>
    <xf numFmtId="0" fontId="2" fillId="0" borderId="1" xfId="0" applyNumberFormat="1" applyFont="1" applyFill="1" applyBorder="1" applyAlignment="1">
      <alignment horizontal="center" vertical="center"/>
    </xf>
    <xf numFmtId="2" fontId="2" fillId="0" borderId="1" xfId="0" quotePrefix="1" applyNumberFormat="1" applyFont="1" applyFill="1" applyBorder="1" applyAlignment="1">
      <alignment vertical="top" wrapText="1"/>
    </xf>
    <xf numFmtId="4" fontId="2" fillId="0" borderId="21" xfId="0" applyFont="1" applyFill="1" applyBorder="1" applyAlignment="1">
      <alignment vertical="top" wrapText="1"/>
    </xf>
    <xf numFmtId="4" fontId="2" fillId="0" borderId="21" xfId="0" applyNumberFormat="1" applyFont="1" applyFill="1" applyBorder="1" applyAlignment="1">
      <alignment horizontal="left" wrapText="1"/>
    </xf>
    <xf numFmtId="4" fontId="2" fillId="0" borderId="21" xfId="0" applyFont="1" applyFill="1" applyBorder="1" applyAlignment="1">
      <alignment horizontal="center"/>
    </xf>
    <xf numFmtId="4" fontId="2" fillId="0" borderId="21" xfId="0" applyFont="1" applyFill="1" applyBorder="1" applyAlignment="1">
      <alignment horizontal="right"/>
    </xf>
    <xf numFmtId="4" fontId="2" fillId="0" borderId="22" xfId="0" applyFont="1" applyFill="1" applyBorder="1" applyAlignment="1">
      <alignment vertical="top" wrapText="1"/>
    </xf>
    <xf numFmtId="4" fontId="3" fillId="0" borderId="1" xfId="0" applyNumberFormat="1" applyFont="1" applyFill="1" applyBorder="1" applyAlignment="1">
      <alignment horizontal="left" vertical="center"/>
    </xf>
    <xf numFmtId="4" fontId="3" fillId="0" borderId="1" xfId="0" applyNumberFormat="1" applyFont="1" applyFill="1" applyBorder="1" applyAlignment="1">
      <alignment horizontal="left" vertical="top"/>
    </xf>
    <xf numFmtId="4" fontId="2" fillId="0" borderId="20" xfId="0" applyFont="1" applyFill="1" applyBorder="1" applyAlignment="1">
      <alignment wrapText="1"/>
    </xf>
    <xf numFmtId="3" fontId="2" fillId="0" borderId="1" xfId="0" applyNumberFormat="1" applyFont="1" applyFill="1" applyBorder="1" applyAlignment="1">
      <alignment horizontal="left" vertical="center" wrapText="1"/>
    </xf>
    <xf numFmtId="4" fontId="2" fillId="0" borderId="20" xfId="0" applyNumberFormat="1" applyFont="1" applyFill="1" applyBorder="1" applyAlignment="1">
      <alignment wrapText="1"/>
    </xf>
    <xf numFmtId="4" fontId="2" fillId="0" borderId="20" xfId="0" applyNumberFormat="1" applyFont="1" applyFill="1" applyBorder="1" applyAlignment="1">
      <alignment vertical="top" wrapText="1"/>
    </xf>
    <xf numFmtId="4" fontId="2" fillId="0" borderId="20" xfId="0" applyFont="1" applyFill="1" applyBorder="1" applyAlignment="1"/>
    <xf numFmtId="4" fontId="2" fillId="0" borderId="21" xfId="0" applyNumberFormat="1" applyFont="1" applyFill="1" applyBorder="1" applyAlignment="1">
      <alignment wrapText="1"/>
    </xf>
    <xf numFmtId="4" fontId="2" fillId="0" borderId="21" xfId="0" applyNumberFormat="1" applyFont="1" applyFill="1" applyBorder="1" applyAlignment="1"/>
    <xf numFmtId="4" fontId="2" fillId="0" borderId="21" xfId="0" quotePrefix="1" applyFont="1" applyFill="1" applyBorder="1" applyAlignment="1">
      <alignment vertical="top" wrapText="1"/>
    </xf>
    <xf numFmtId="4" fontId="2" fillId="0" borderId="21" xfId="0" applyFont="1" applyFill="1" applyBorder="1" applyAlignment="1">
      <alignment horizontal="center" wrapText="1"/>
    </xf>
    <xf numFmtId="4" fontId="2" fillId="0" borderId="21" xfId="0" quotePrefix="1" applyFont="1" applyFill="1" applyBorder="1" applyAlignment="1">
      <alignment horizontal="right" wrapText="1"/>
    </xf>
    <xf numFmtId="4" fontId="2" fillId="0" borderId="21" xfId="0" applyFont="1" applyFill="1" applyBorder="1" applyAlignment="1"/>
    <xf numFmtId="4" fontId="0" fillId="0" borderId="0" xfId="0" applyFont="1" applyFill="1" applyBorder="1" applyAlignment="1">
      <alignment vertical="top" wrapText="1"/>
    </xf>
    <xf numFmtId="4" fontId="2" fillId="0" borderId="24" xfId="3" applyFont="1" applyFill="1" applyBorder="1" applyAlignment="1">
      <alignment vertical="top" wrapText="1"/>
    </xf>
    <xf numFmtId="4" fontId="2" fillId="0" borderId="0" xfId="0" applyFont="1" applyFill="1" applyBorder="1" applyAlignment="1">
      <alignment horizontal="center" vertical="center" wrapText="1"/>
    </xf>
    <xf numFmtId="4" fontId="2" fillId="0" borderId="18" xfId="0" applyNumberFormat="1" applyFont="1" applyFill="1" applyBorder="1" applyAlignment="1">
      <alignment wrapText="1"/>
    </xf>
    <xf numFmtId="4" fontId="2" fillId="0" borderId="17" xfId="0" quotePrefix="1" applyFont="1" applyFill="1" applyBorder="1" applyAlignment="1">
      <alignment vertical="top" wrapText="1"/>
    </xf>
    <xf numFmtId="4" fontId="8" fillId="0" borderId="0" xfId="0" applyFont="1" applyFill="1" applyAlignment="1">
      <alignment vertical="center" wrapText="1"/>
    </xf>
    <xf numFmtId="4" fontId="2" fillId="0" borderId="23" xfId="0" quotePrefix="1" applyFont="1" applyFill="1" applyBorder="1" applyAlignment="1">
      <alignment vertical="top" wrapText="1"/>
    </xf>
    <xf numFmtId="4" fontId="2" fillId="0" borderId="23" xfId="0" applyFont="1" applyFill="1" applyBorder="1" applyAlignment="1">
      <alignment vertical="top" wrapText="1"/>
    </xf>
    <xf numFmtId="4" fontId="2" fillId="0" borderId="23" xfId="0" applyNumberFormat="1" applyFont="1" applyFill="1" applyBorder="1" applyAlignment="1">
      <alignment wrapText="1"/>
    </xf>
    <xf numFmtId="4" fontId="8" fillId="0" borderId="0" xfId="0" applyFont="1" applyFill="1" applyAlignment="1">
      <alignment horizontal="left" vertical="top"/>
    </xf>
    <xf numFmtId="4" fontId="8" fillId="0" borderId="0" xfId="0" applyFont="1" applyFill="1" applyAlignment="1">
      <alignment horizontal="center" vertical="top" wrapText="1"/>
    </xf>
    <xf numFmtId="4" fontId="2" fillId="0" borderId="17" xfId="0" applyFont="1" applyFill="1" applyBorder="1" applyAlignment="1">
      <alignment vertical="top" wrapText="1"/>
    </xf>
    <xf numFmtId="4" fontId="2" fillId="0" borderId="18" xfId="0" applyNumberFormat="1" applyFont="1" applyFill="1" applyBorder="1" applyAlignment="1">
      <alignment horizontal="center" wrapText="1"/>
    </xf>
    <xf numFmtId="4" fontId="8" fillId="0" borderId="0" xfId="0" applyFont="1" applyFill="1" applyBorder="1" applyAlignment="1">
      <alignment vertical="top" wrapText="1"/>
    </xf>
    <xf numFmtId="4" fontId="2" fillId="0" borderId="0" xfId="0" applyFont="1" applyFill="1" applyBorder="1" applyAlignment="1">
      <alignment horizontal="center" vertical="top" wrapText="1"/>
    </xf>
    <xf numFmtId="0" fontId="2" fillId="0" borderId="17" xfId="0" applyNumberFormat="1" applyFont="1" applyFill="1" applyBorder="1" applyAlignment="1"/>
    <xf numFmtId="4" fontId="2" fillId="0" borderId="17" xfId="0" quotePrefix="1" applyFont="1" applyFill="1" applyBorder="1" applyAlignment="1">
      <alignment vertical="top"/>
    </xf>
    <xf numFmtId="4" fontId="10" fillId="0" borderId="17" xfId="0" applyNumberFormat="1" applyFont="1" applyFill="1" applyBorder="1" applyAlignment="1"/>
    <xf numFmtId="4" fontId="2" fillId="0" borderId="17" xfId="0" applyFont="1" applyFill="1" applyBorder="1" applyAlignment="1">
      <alignment wrapText="1"/>
    </xf>
    <xf numFmtId="4" fontId="2" fillId="0" borderId="17" xfId="0" applyFont="1" applyFill="1" applyBorder="1" applyAlignment="1"/>
    <xf numFmtId="0" fontId="0" fillId="0" borderId="1" xfId="0" applyNumberFormat="1" applyFont="1" applyFill="1" applyBorder="1" applyAlignment="1">
      <alignment horizontal="center"/>
    </xf>
    <xf numFmtId="4" fontId="0" fillId="0" borderId="1" xfId="0" applyFont="1" applyFill="1" applyBorder="1" applyAlignment="1">
      <alignment wrapText="1"/>
    </xf>
    <xf numFmtId="4" fontId="0" fillId="0" borderId="1" xfId="0" applyNumberFormat="1" applyFont="1" applyFill="1" applyBorder="1" applyAlignment="1">
      <alignment wrapText="1"/>
    </xf>
    <xf numFmtId="4" fontId="2" fillId="0" borderId="0" xfId="0" applyFont="1" applyFill="1" applyBorder="1" applyAlignment="1">
      <alignment horizontal="right" wrapText="1"/>
    </xf>
    <xf numFmtId="4" fontId="10" fillId="0" borderId="0" xfId="0" applyFont="1" applyFill="1" applyBorder="1" applyAlignment="1">
      <alignment wrapText="1"/>
    </xf>
    <xf numFmtId="4" fontId="10" fillId="0" borderId="0" xfId="0" quotePrefix="1" applyFont="1" applyFill="1" applyBorder="1" applyAlignment="1">
      <alignment wrapText="1"/>
    </xf>
    <xf numFmtId="4" fontId="3" fillId="0" borderId="0" xfId="0" applyFont="1" applyFill="1" applyAlignment="1">
      <alignment vertical="center" wrapText="1"/>
    </xf>
    <xf numFmtId="3" fontId="2" fillId="0" borderId="1" xfId="0" applyNumberFormat="1" applyFont="1" applyFill="1" applyBorder="1" applyAlignment="1">
      <alignment horizontal="center"/>
    </xf>
    <xf numFmtId="4" fontId="2" fillId="0" borderId="3" xfId="0" quotePrefix="1" applyNumberFormat="1" applyFont="1" applyFill="1" applyBorder="1" applyAlignment="1">
      <alignment vertical="center"/>
    </xf>
    <xf numFmtId="4" fontId="2" fillId="0" borderId="0" xfId="0" quotePrefix="1" applyNumberFormat="1" applyFont="1" applyFill="1" applyBorder="1" applyAlignment="1">
      <alignment vertical="center"/>
    </xf>
    <xf numFmtId="4" fontId="3" fillId="0" borderId="0" xfId="0" applyNumberFormat="1" applyFont="1" applyFill="1" applyBorder="1" applyAlignment="1"/>
    <xf numFmtId="164" fontId="2" fillId="0" borderId="0" xfId="0" applyNumberFormat="1" applyFont="1" applyFill="1" applyBorder="1" applyAlignment="1">
      <alignment horizontal="left" vertical="center" wrapText="1"/>
    </xf>
    <xf numFmtId="0" fontId="2" fillId="0" borderId="1" xfId="0" applyNumberFormat="1" applyFont="1" applyFill="1" applyBorder="1" applyAlignment="1">
      <alignment vertical="top"/>
    </xf>
    <xf numFmtId="4" fontId="2" fillId="0" borderId="18" xfId="0" applyFont="1" applyFill="1" applyBorder="1" applyAlignment="1">
      <alignment horizontal="center" vertical="top" wrapText="1"/>
    </xf>
    <xf numFmtId="4" fontId="2" fillId="0" borderId="18" xfId="0" applyNumberFormat="1" applyFont="1" applyFill="1" applyBorder="1" applyAlignment="1">
      <alignment vertical="top" wrapText="1"/>
    </xf>
    <xf numFmtId="4" fontId="2" fillId="0" borderId="19" xfId="0" applyFont="1" applyFill="1" applyBorder="1" applyAlignment="1">
      <alignment wrapText="1"/>
    </xf>
    <xf numFmtId="4" fontId="2" fillId="0" borderId="18" xfId="0" applyFont="1" applyFill="1" applyBorder="1" applyAlignment="1">
      <alignment wrapText="1"/>
    </xf>
    <xf numFmtId="0" fontId="2" fillId="0" borderId="18" xfId="0" applyNumberFormat="1" applyFont="1" applyFill="1" applyBorder="1" applyAlignment="1">
      <alignment wrapText="1"/>
    </xf>
    <xf numFmtId="4" fontId="2" fillId="0" borderId="21" xfId="0" applyFont="1" applyFill="1" applyBorder="1" applyAlignment="1">
      <alignment horizontal="right" wrapText="1"/>
    </xf>
    <xf numFmtId="4" fontId="2" fillId="0" borderId="21" xfId="0" quotePrefix="1" applyFont="1" applyFill="1" applyBorder="1" applyAlignment="1">
      <alignment wrapText="1"/>
    </xf>
    <xf numFmtId="0" fontId="2" fillId="0" borderId="21" xfId="0" applyNumberFormat="1" applyFont="1" applyFill="1" applyBorder="1" applyAlignment="1">
      <alignment wrapText="1"/>
    </xf>
    <xf numFmtId="4" fontId="2" fillId="0" borderId="21" xfId="0" applyFont="1" applyFill="1" applyBorder="1" applyAlignment="1">
      <alignment wrapText="1"/>
    </xf>
    <xf numFmtId="0" fontId="2" fillId="0" borderId="21" xfId="0" applyNumberFormat="1" applyFont="1" applyFill="1" applyBorder="1" applyAlignment="1">
      <alignment horizontal="center"/>
    </xf>
    <xf numFmtId="4" fontId="2" fillId="0" borderId="21" xfId="0" applyNumberFormat="1" applyFont="1" applyFill="1" applyBorder="1" applyAlignment="1">
      <alignment horizontal="right" wrapText="1"/>
    </xf>
    <xf numFmtId="4" fontId="2" fillId="0" borderId="21" xfId="0" quotePrefix="1" applyNumberFormat="1" applyFont="1" applyFill="1" applyBorder="1" applyAlignment="1">
      <alignment wrapText="1"/>
    </xf>
    <xf numFmtId="4" fontId="2" fillId="0" borderId="25" xfId="0" applyFont="1" applyFill="1" applyBorder="1" applyAlignment="1">
      <alignment horizontal="center" vertical="top" wrapText="1"/>
    </xf>
    <xf numFmtId="4" fontId="2" fillId="0" borderId="26" xfId="0" applyNumberFormat="1" applyFont="1" applyFill="1" applyBorder="1" applyAlignment="1">
      <alignment wrapText="1"/>
    </xf>
    <xf numFmtId="4" fontId="2" fillId="0" borderId="26" xfId="0" applyNumberFormat="1" applyFont="1" applyFill="1" applyBorder="1" applyAlignment="1"/>
    <xf numFmtId="4" fontId="4" fillId="0" borderId="25" xfId="0" applyFont="1" applyFill="1" applyBorder="1" applyAlignment="1">
      <alignment horizontal="center" vertical="top" wrapText="1"/>
    </xf>
    <xf numFmtId="4" fontId="2" fillId="0" borderId="0" xfId="0" quotePrefix="1" applyFont="1" applyBorder="1" applyAlignment="1">
      <alignment horizontal="left" vertical="center" wrapText="1"/>
    </xf>
    <xf numFmtId="4" fontId="2" fillId="0" borderId="0" xfId="0" quotePrefix="1" applyNumberFormat="1" applyFont="1" applyFill="1" applyBorder="1" applyAlignment="1">
      <alignment horizontal="right" wrapText="1"/>
    </xf>
    <xf numFmtId="4" fontId="2" fillId="0" borderId="26" xfId="0" applyNumberFormat="1" applyFont="1" applyFill="1" applyBorder="1" applyAlignment="1">
      <alignment horizontal="right"/>
    </xf>
    <xf numFmtId="4" fontId="2" fillId="0" borderId="0" xfId="0" quotePrefix="1" applyFont="1" applyFill="1" applyBorder="1" applyAlignment="1">
      <alignment horizontal="right" vertical="top" wrapText="1"/>
    </xf>
    <xf numFmtId="4" fontId="4" fillId="0" borderId="25" xfId="0" applyFont="1" applyFill="1" applyBorder="1" applyAlignment="1">
      <alignment horizontal="center" wrapText="1"/>
    </xf>
    <xf numFmtId="3" fontId="2" fillId="0" borderId="1" xfId="0" applyNumberFormat="1" applyFont="1" applyFill="1" applyBorder="1" applyAlignment="1">
      <alignment horizontal="right" wrapText="1"/>
    </xf>
    <xf numFmtId="4" fontId="2" fillId="0" borderId="21" xfId="0" quotePrefix="1" applyNumberFormat="1" applyFont="1" applyFill="1" applyBorder="1" applyAlignment="1">
      <alignment horizontal="right" wrapText="1"/>
    </xf>
    <xf numFmtId="4" fontId="2" fillId="0" borderId="27" xfId="0" applyFont="1" applyFill="1" applyBorder="1" applyAlignment="1">
      <alignment horizontal="center" vertical="center" wrapText="1"/>
    </xf>
    <xf numFmtId="4" fontId="3" fillId="0" borderId="27" xfId="0" applyFont="1" applyFill="1" applyBorder="1" applyAlignment="1">
      <alignment horizontal="center" vertical="center" wrapText="1"/>
    </xf>
    <xf numFmtId="0" fontId="2" fillId="0" borderId="27" xfId="0" applyNumberFormat="1" applyFont="1" applyFill="1" applyBorder="1" applyAlignment="1">
      <alignment horizontal="center"/>
    </xf>
    <xf numFmtId="0" fontId="3" fillId="0" borderId="1" xfId="0" applyNumberFormat="1" applyFont="1" applyFill="1" applyBorder="1" applyAlignment="1">
      <alignment horizontal="right" wrapText="1"/>
    </xf>
    <xf numFmtId="4" fontId="3" fillId="0" borderId="26" xfId="0" applyNumberFormat="1" applyFont="1" applyFill="1" applyBorder="1" applyAlignment="1">
      <alignment horizontal="right"/>
    </xf>
    <xf numFmtId="0" fontId="3" fillId="0" borderId="25" xfId="0" applyNumberFormat="1" applyFont="1" applyFill="1" applyBorder="1" applyAlignment="1">
      <alignment horizontal="center" vertical="top"/>
    </xf>
    <xf numFmtId="3" fontId="2" fillId="0" borderId="1" xfId="0" quotePrefix="1" applyNumberFormat="1" applyFont="1" applyFill="1" applyBorder="1" applyAlignment="1">
      <alignment horizontal="right" wrapText="1"/>
    </xf>
    <xf numFmtId="0" fontId="2" fillId="0" borderId="25" xfId="0" applyNumberFormat="1" applyFont="1" applyFill="1" applyBorder="1" applyAlignment="1">
      <alignment horizontal="center"/>
    </xf>
    <xf numFmtId="0" fontId="4" fillId="0" borderId="25" xfId="0" applyNumberFormat="1" applyFont="1" applyFill="1" applyBorder="1" applyAlignment="1">
      <alignment horizontal="center"/>
    </xf>
    <xf numFmtId="0" fontId="3" fillId="0" borderId="25" xfId="0" applyNumberFormat="1" applyFont="1" applyFill="1" applyBorder="1" applyAlignment="1">
      <alignment horizontal="center"/>
    </xf>
    <xf numFmtId="0" fontId="2" fillId="0" borderId="25" xfId="0" applyNumberFormat="1" applyFont="1" applyFill="1" applyBorder="1" applyAlignment="1">
      <alignment horizontal="center" vertical="top"/>
    </xf>
    <xf numFmtId="2" fontId="3" fillId="0" borderId="31" xfId="0" applyNumberFormat="1" applyFont="1" applyFill="1" applyBorder="1" applyAlignment="1">
      <alignment horizontal="center"/>
    </xf>
    <xf numFmtId="4" fontId="3" fillId="0" borderId="10" xfId="0" applyNumberFormat="1" applyFont="1" applyFill="1" applyBorder="1" applyAlignment="1">
      <alignment horizontal="right"/>
    </xf>
    <xf numFmtId="4" fontId="3" fillId="0" borderId="32" xfId="0" applyNumberFormat="1" applyFont="1" applyFill="1" applyBorder="1" applyAlignment="1"/>
    <xf numFmtId="4" fontId="3" fillId="0" borderId="33" xfId="0" applyNumberFormat="1" applyFont="1" applyFill="1" applyBorder="1" applyAlignment="1"/>
    <xf numFmtId="2" fontId="3" fillId="0" borderId="34" xfId="0" applyNumberFormat="1" applyFont="1" applyFill="1" applyBorder="1" applyAlignment="1">
      <alignment horizontal="center"/>
    </xf>
    <xf numFmtId="4" fontId="3" fillId="0" borderId="14" xfId="0" applyNumberFormat="1" applyFont="1" applyFill="1" applyBorder="1" applyAlignment="1">
      <alignment horizontal="right"/>
    </xf>
    <xf numFmtId="4" fontId="3" fillId="0" borderId="30" xfId="0" applyNumberFormat="1" applyFont="1" applyFill="1" applyBorder="1" applyAlignment="1"/>
    <xf numFmtId="4" fontId="2" fillId="0" borderId="26" xfId="0" applyFont="1" applyFill="1" applyBorder="1" applyAlignment="1">
      <alignment vertical="top" wrapText="1"/>
    </xf>
    <xf numFmtId="3" fontId="2" fillId="0" borderId="1" xfId="0" quotePrefix="1" applyNumberFormat="1" applyFont="1" applyFill="1" applyBorder="1" applyAlignment="1">
      <alignment horizontal="right"/>
    </xf>
    <xf numFmtId="0" fontId="4" fillId="0" borderId="25" xfId="0" applyNumberFormat="1" applyFont="1" applyFill="1" applyBorder="1" applyAlignment="1">
      <alignment horizontal="center" vertical="top"/>
    </xf>
    <xf numFmtId="4" fontId="2" fillId="0" borderId="1" xfId="0" quotePrefix="1" applyNumberFormat="1" applyFont="1" applyFill="1" applyBorder="1" applyAlignment="1">
      <alignment horizontal="right"/>
    </xf>
    <xf numFmtId="0" fontId="2" fillId="0" borderId="25" xfId="0" applyNumberFormat="1" applyFont="1" applyFill="1" applyBorder="1" applyAlignment="1">
      <alignment horizontal="center" wrapText="1"/>
    </xf>
    <xf numFmtId="0" fontId="4" fillId="0" borderId="25" xfId="0" applyNumberFormat="1" applyFont="1" applyFill="1" applyBorder="1" applyAlignment="1">
      <alignment horizontal="center" vertical="top" wrapText="1"/>
    </xf>
    <xf numFmtId="0" fontId="2" fillId="0" borderId="1" xfId="0" quotePrefix="1" applyNumberFormat="1" applyFont="1" applyFill="1" applyBorder="1" applyAlignment="1">
      <alignment horizontal="right" wrapText="1"/>
    </xf>
    <xf numFmtId="4" fontId="3" fillId="0" borderId="1" xfId="0" applyNumberFormat="1" applyFont="1" applyFill="1" applyBorder="1" applyAlignment="1">
      <alignment horizontal="left" vertical="top" wrapText="1"/>
    </xf>
    <xf numFmtId="4" fontId="2" fillId="0" borderId="0" xfId="0" applyFont="1" applyFill="1" applyBorder="1" applyAlignment="1">
      <alignment horizontal="center" vertical="top"/>
    </xf>
    <xf numFmtId="4" fontId="8" fillId="0" borderId="0" xfId="0" applyFont="1" applyFill="1" applyBorder="1" applyAlignment="1">
      <alignment horizontal="center" vertical="top" wrapText="1"/>
    </xf>
    <xf numFmtId="4" fontId="2" fillId="0" borderId="0" xfId="0" applyNumberFormat="1" applyFont="1" applyFill="1" applyBorder="1" applyAlignment="1">
      <alignment horizontal="left" vertical="center"/>
    </xf>
    <xf numFmtId="4" fontId="2" fillId="0" borderId="0" xfId="0" applyFont="1" applyFill="1" applyBorder="1" applyAlignment="1">
      <alignment horizontal="left" vertical="top"/>
    </xf>
    <xf numFmtId="4" fontId="2" fillId="0" borderId="0" xfId="0" applyFont="1" applyFill="1" applyBorder="1" applyAlignment="1">
      <alignment horizontal="center" vertical="top"/>
    </xf>
    <xf numFmtId="0" fontId="3" fillId="0" borderId="2" xfId="0" applyNumberFormat="1" applyFont="1" applyFill="1" applyBorder="1" applyAlignment="1">
      <alignment horizontal="left" vertical="center" wrapText="1"/>
    </xf>
    <xf numFmtId="4" fontId="2" fillId="0" borderId="4" xfId="0" applyNumberFormat="1" applyFont="1" applyFill="1" applyBorder="1" applyAlignment="1">
      <alignment horizontal="center" vertical="center" wrapText="1"/>
    </xf>
    <xf numFmtId="4" fontId="2" fillId="0" borderId="12" xfId="0" applyNumberFormat="1" applyFont="1" applyFill="1" applyBorder="1" applyAlignment="1">
      <alignment horizontal="center" vertical="center" wrapText="1"/>
    </xf>
    <xf numFmtId="4" fontId="2" fillId="0" borderId="6" xfId="0" applyFont="1" applyFill="1" applyBorder="1" applyAlignment="1">
      <alignment horizontal="center" vertical="center" wrapText="1"/>
    </xf>
    <xf numFmtId="4" fontId="2" fillId="0" borderId="6" xfId="0" applyFont="1" applyFill="1" applyBorder="1" applyAlignment="1">
      <alignment wrapText="1"/>
    </xf>
    <xf numFmtId="4" fontId="11" fillId="0" borderId="29" xfId="0" applyFont="1" applyFill="1" applyBorder="1" applyAlignment="1">
      <alignment horizontal="center" vertical="top" wrapText="1"/>
    </xf>
    <xf numFmtId="4" fontId="11" fillId="0" borderId="14" xfId="0" applyFont="1" applyFill="1" applyBorder="1" applyAlignment="1">
      <alignment horizontal="center" vertical="top" wrapText="1"/>
    </xf>
    <xf numFmtId="4" fontId="11" fillId="0" borderId="30" xfId="0" applyFont="1" applyFill="1" applyBorder="1" applyAlignment="1">
      <alignment horizontal="center" vertical="top" wrapText="1"/>
    </xf>
    <xf numFmtId="4" fontId="2" fillId="0" borderId="18" xfId="0" quotePrefix="1" applyNumberFormat="1" applyFont="1" applyFill="1" applyBorder="1" applyAlignment="1">
      <alignment wrapText="1"/>
    </xf>
    <xf numFmtId="4" fontId="2" fillId="0" borderId="18" xfId="0" quotePrefix="1" applyNumberFormat="1" applyFont="1" applyFill="1" applyBorder="1" applyAlignment="1"/>
    <xf numFmtId="4" fontId="2" fillId="0" borderId="0" xfId="0" applyFont="1" applyBorder="1" applyAlignment="1">
      <alignment horizontal="left" vertical="center" wrapText="1"/>
    </xf>
    <xf numFmtId="44" fontId="2" fillId="0" borderId="18" xfId="4" quotePrefix="1" applyFont="1" applyFill="1" applyBorder="1" applyAlignment="1">
      <alignment wrapText="1"/>
    </xf>
    <xf numFmtId="4" fontId="2" fillId="0" borderId="18" xfId="4" quotePrefix="1" applyNumberFormat="1" applyFont="1" applyFill="1" applyBorder="1" applyAlignment="1">
      <alignment wrapText="1"/>
    </xf>
    <xf numFmtId="4" fontId="2" fillId="0" borderId="1" xfId="0" applyNumberFormat="1" applyFont="1" applyFill="1" applyBorder="1" applyAlignment="1">
      <alignment horizontal="center" wrapText="1"/>
    </xf>
    <xf numFmtId="0" fontId="2" fillId="0" borderId="1" xfId="0" quotePrefix="1" applyNumberFormat="1" applyFont="1" applyFill="1" applyBorder="1" applyAlignment="1"/>
    <xf numFmtId="4" fontId="2" fillId="0" borderId="1" xfId="0" quotePrefix="1" applyNumberFormat="1" applyFont="1" applyFill="1" applyBorder="1" applyAlignment="1">
      <alignment vertical="top" wrapText="1"/>
    </xf>
    <xf numFmtId="4" fontId="2" fillId="0" borderId="0" xfId="0" applyFont="1" applyFill="1" applyBorder="1" applyAlignment="1">
      <alignment horizontal="left" wrapText="1"/>
    </xf>
    <xf numFmtId="0" fontId="0" fillId="0" borderId="0" xfId="2" applyFont="1" applyBorder="1" applyAlignment="1">
      <alignment vertical="top" wrapText="1"/>
    </xf>
    <xf numFmtId="4" fontId="0" fillId="0" borderId="1" xfId="0" applyNumberFormat="1" applyFont="1" applyFill="1" applyBorder="1" applyAlignment="1">
      <alignment horizontal="left" wrapText="1"/>
    </xf>
    <xf numFmtId="4" fontId="0" fillId="0" borderId="0" xfId="0" applyNumberFormat="1" applyFont="1" applyFill="1" applyBorder="1" applyAlignment="1">
      <alignment horizontal="left" wrapText="1"/>
    </xf>
    <xf numFmtId="4" fontId="0" fillId="0" borderId="0" xfId="0" quotePrefix="1" applyFont="1" applyFill="1" applyBorder="1" applyAlignment="1">
      <alignment wrapText="1"/>
    </xf>
    <xf numFmtId="0" fontId="0" fillId="0" borderId="16" xfId="0" applyNumberFormat="1" applyFont="1" applyFill="1" applyBorder="1" applyAlignment="1">
      <alignment wrapText="1"/>
    </xf>
    <xf numFmtId="4" fontId="2" fillId="0" borderId="1" xfId="0" quotePrefix="1" applyNumberFormat="1" applyFont="1" applyFill="1" applyBorder="1" applyAlignment="1">
      <alignment vertical="center" wrapText="1"/>
    </xf>
    <xf numFmtId="0" fontId="2" fillId="0" borderId="1" xfId="0" applyNumberFormat="1" applyFont="1" applyFill="1" applyBorder="1" applyAlignment="1">
      <alignment vertical="top" wrapText="1"/>
    </xf>
    <xf numFmtId="4" fontId="3" fillId="0" borderId="20" xfId="0" applyNumberFormat="1" applyFont="1" applyFill="1" applyBorder="1" applyAlignment="1">
      <alignment horizontal="left" vertical="top"/>
    </xf>
    <xf numFmtId="4" fontId="2" fillId="0" borderId="20" xfId="0" applyFont="1" applyFill="1" applyBorder="1" applyAlignment="1">
      <alignment horizontal="left" wrapText="1"/>
    </xf>
    <xf numFmtId="0" fontId="4" fillId="0" borderId="35" xfId="0" applyNumberFormat="1" applyFont="1" applyFill="1" applyBorder="1" applyAlignment="1">
      <alignment horizontal="center"/>
    </xf>
    <xf numFmtId="3" fontId="2" fillId="0" borderId="12" xfId="0" applyNumberFormat="1" applyFont="1" applyFill="1" applyBorder="1" applyAlignment="1">
      <alignment horizontal="right"/>
    </xf>
    <xf numFmtId="4" fontId="2" fillId="0" borderId="36" xfId="0" applyNumberFormat="1" applyFont="1" applyFill="1" applyBorder="1" applyAlignment="1">
      <alignment horizontal="right"/>
    </xf>
    <xf numFmtId="4" fontId="2" fillId="0" borderId="37" xfId="0" applyFont="1" applyFill="1" applyBorder="1" applyAlignment="1">
      <alignment wrapText="1"/>
    </xf>
    <xf numFmtId="4" fontId="2" fillId="0" borderId="12" xfId="0" quotePrefix="1" applyFont="1" applyFill="1" applyBorder="1" applyAlignment="1">
      <alignment vertical="top" wrapText="1"/>
    </xf>
    <xf numFmtId="0" fontId="2" fillId="0" borderId="12" xfId="0" applyNumberFormat="1" applyFont="1" applyFill="1" applyBorder="1" applyAlignment="1">
      <alignment horizontal="center" wrapText="1"/>
    </xf>
    <xf numFmtId="4" fontId="2" fillId="0" borderId="12" xfId="0" quotePrefix="1" applyNumberFormat="1" applyFont="1" applyFill="1" applyBorder="1" applyAlignment="1">
      <alignment wrapText="1"/>
    </xf>
    <xf numFmtId="4" fontId="2" fillId="0" borderId="12" xfId="0" applyFont="1" applyFill="1" applyBorder="1" applyAlignment="1">
      <alignment wrapText="1"/>
    </xf>
    <xf numFmtId="4" fontId="2" fillId="0" borderId="14" xfId="0" applyFont="1" applyFill="1" applyBorder="1" applyAlignment="1">
      <alignment vertical="top" wrapText="1"/>
    </xf>
    <xf numFmtId="4" fontId="2" fillId="0" borderId="12" xfId="0" applyFont="1" applyFill="1" applyBorder="1" applyAlignment="1">
      <alignment horizontal="center" wrapText="1"/>
    </xf>
    <xf numFmtId="4" fontId="2" fillId="0" borderId="12" xfId="0" applyNumberFormat="1" applyFont="1" applyFill="1" applyBorder="1" applyAlignment="1">
      <alignment wrapText="1"/>
    </xf>
    <xf numFmtId="4" fontId="2" fillId="0" borderId="12" xfId="0" quotePrefix="1" applyFont="1" applyFill="1" applyBorder="1" applyAlignment="1">
      <alignment wrapText="1"/>
    </xf>
    <xf numFmtId="0" fontId="2" fillId="0" borderId="12" xfId="0" applyNumberFormat="1" applyFont="1" applyFill="1" applyBorder="1" applyAlignment="1">
      <alignment vertical="center" wrapText="1"/>
    </xf>
    <xf numFmtId="4" fontId="2" fillId="0" borderId="38" xfId="0" applyNumberFormat="1" applyFont="1" applyFill="1" applyBorder="1" applyAlignment="1">
      <alignment wrapText="1"/>
    </xf>
    <xf numFmtId="4" fontId="2" fillId="0" borderId="12" xfId="0" applyNumberFormat="1" applyFont="1" applyFill="1" applyBorder="1">
      <alignment vertical="top" wrapText="1"/>
    </xf>
    <xf numFmtId="4" fontId="2" fillId="0" borderId="0" xfId="0" applyNumberFormat="1" applyFont="1" applyFill="1" applyBorder="1" applyAlignment="1">
      <alignment horizontal="left" vertical="center" wrapText="1"/>
    </xf>
    <xf numFmtId="4" fontId="2" fillId="0" borderId="12" xfId="0" applyNumberFormat="1" applyFont="1" applyFill="1" applyBorder="1" applyAlignment="1">
      <alignment horizontal="left" vertical="center" wrapText="1"/>
    </xf>
    <xf numFmtId="4" fontId="2" fillId="0" borderId="12" xfId="0" quotePrefix="1" applyNumberFormat="1" applyFont="1" applyFill="1" applyBorder="1">
      <alignment vertical="top" wrapText="1"/>
    </xf>
    <xf numFmtId="4" fontId="2" fillId="0" borderId="12" xfId="0" applyNumberFormat="1" applyFont="1" applyFill="1" applyBorder="1" applyAlignment="1">
      <alignment vertical="top" wrapText="1"/>
    </xf>
    <xf numFmtId="4" fontId="2" fillId="0" borderId="12" xfId="0" applyNumberFormat="1" applyFont="1" applyFill="1" applyBorder="1" applyAlignment="1">
      <alignment horizontal="right" wrapText="1"/>
    </xf>
    <xf numFmtId="0" fontId="2" fillId="0" borderId="12" xfId="0" quotePrefix="1" applyNumberFormat="1" applyFont="1" applyFill="1" applyBorder="1" applyAlignment="1">
      <alignment wrapText="1"/>
    </xf>
    <xf numFmtId="4" fontId="2" fillId="0" borderId="12" xfId="0" applyFont="1" applyFill="1" applyBorder="1" applyAlignment="1">
      <alignment horizontal="center"/>
    </xf>
    <xf numFmtId="4" fontId="2" fillId="0" borderId="12" xfId="0" quotePrefix="1" applyFont="1" applyFill="1" applyBorder="1" applyAlignment="1">
      <alignment horizontal="right" wrapText="1"/>
    </xf>
    <xf numFmtId="4" fontId="2" fillId="0" borderId="14" xfId="0" applyNumberFormat="1" applyFont="1" applyFill="1" applyBorder="1" applyAlignment="1">
      <alignment wrapText="1"/>
    </xf>
    <xf numFmtId="0" fontId="2" fillId="0" borderId="12" xfId="0" applyNumberFormat="1" applyFont="1" applyFill="1" applyBorder="1" applyAlignment="1">
      <alignment wrapText="1"/>
    </xf>
    <xf numFmtId="4" fontId="2" fillId="0" borderId="39" xfId="0" applyFont="1" applyFill="1" applyBorder="1" applyAlignment="1">
      <alignment horizontal="center" vertical="top" wrapText="1"/>
    </xf>
    <xf numFmtId="0" fontId="2" fillId="0" borderId="40" xfId="0" applyNumberFormat="1" applyFont="1" applyFill="1" applyBorder="1" applyAlignment="1">
      <alignment wrapText="1"/>
    </xf>
    <xf numFmtId="4" fontId="2" fillId="0" borderId="40" xfId="0" applyFont="1" applyFill="1" applyBorder="1" applyAlignment="1">
      <alignment horizontal="center" vertical="top" wrapText="1"/>
    </xf>
    <xf numFmtId="4" fontId="2" fillId="0" borderId="40" xfId="0" quotePrefix="1" applyFont="1" applyFill="1" applyBorder="1" applyAlignment="1">
      <alignment horizontal="right" vertical="top" wrapText="1"/>
    </xf>
    <xf numFmtId="4" fontId="2" fillId="0" borderId="40" xfId="0" applyNumberFormat="1" applyFont="1" applyFill="1" applyBorder="1" applyAlignment="1">
      <alignment horizontal="right"/>
    </xf>
    <xf numFmtId="4" fontId="2" fillId="0" borderId="41" xfId="0" applyNumberFormat="1" applyFont="1" applyFill="1" applyBorder="1" applyAlignment="1">
      <alignment horizontal="right"/>
    </xf>
    <xf numFmtId="4" fontId="0" fillId="0" borderId="14" xfId="0" applyFont="1" applyBorder="1" applyAlignment="1">
      <alignment vertical="top" wrapText="1"/>
    </xf>
    <xf numFmtId="4" fontId="0" fillId="0" borderId="14" xfId="0" applyFont="1" applyFill="1" applyBorder="1">
      <alignment vertical="top" wrapText="1"/>
    </xf>
    <xf numFmtId="4" fontId="2" fillId="0" borderId="14" xfId="0" applyFont="1" applyFill="1" applyBorder="1" applyAlignment="1">
      <alignment horizontal="justify" wrapText="1"/>
    </xf>
    <xf numFmtId="4" fontId="2" fillId="0" borderId="14" xfId="0" applyFont="1" applyFill="1" applyBorder="1" applyAlignment="1">
      <alignment wrapText="1"/>
    </xf>
    <xf numFmtId="4" fontId="4" fillId="0" borderId="39" xfId="0" applyFont="1" applyFill="1" applyBorder="1" applyAlignment="1">
      <alignment horizontal="center" vertical="top" wrapText="1"/>
    </xf>
    <xf numFmtId="4" fontId="2" fillId="0" borderId="40" xfId="0" applyNumberFormat="1" applyFont="1" applyFill="1" applyBorder="1" applyAlignment="1">
      <alignment wrapText="1"/>
    </xf>
    <xf numFmtId="0" fontId="2" fillId="0" borderId="40" xfId="0" applyNumberFormat="1" applyFont="1" applyFill="1" applyBorder="1" applyAlignment="1">
      <alignment horizontal="center"/>
    </xf>
    <xf numFmtId="4" fontId="2" fillId="0" borderId="40" xfId="0" applyNumberFormat="1" applyFont="1" applyFill="1" applyBorder="1" applyAlignment="1">
      <alignment horizontal="right" wrapText="1"/>
    </xf>
    <xf numFmtId="4" fontId="2" fillId="0" borderId="41" xfId="0" applyNumberFormat="1" applyFont="1" applyFill="1" applyBorder="1" applyAlignment="1"/>
    <xf numFmtId="4" fontId="2" fillId="0" borderId="42" xfId="0" applyNumberFormat="1" applyFont="1" applyFill="1" applyBorder="1" applyAlignment="1">
      <alignment wrapText="1"/>
    </xf>
    <xf numFmtId="4" fontId="2" fillId="0" borderId="40" xfId="0" applyNumberFormat="1" applyFont="1" applyFill="1" applyBorder="1">
      <alignment vertical="top" wrapText="1"/>
    </xf>
    <xf numFmtId="4" fontId="2" fillId="0" borderId="12" xfId="0" applyNumberFormat="1" applyFont="1" applyFill="1" applyBorder="1" applyAlignment="1">
      <alignment vertical="center" wrapText="1"/>
    </xf>
    <xf numFmtId="4" fontId="2" fillId="0" borderId="12" xfId="0" applyNumberFormat="1" applyFont="1" applyFill="1" applyBorder="1" applyAlignment="1">
      <alignment vertical="center"/>
    </xf>
    <xf numFmtId="4" fontId="2" fillId="0" borderId="12" xfId="0" applyNumberFormat="1" applyFont="1" applyFill="1" applyBorder="1" applyAlignment="1">
      <alignment horizontal="left" wrapText="1"/>
    </xf>
    <xf numFmtId="4" fontId="2" fillId="0" borderId="42" xfId="0" quotePrefix="1" applyNumberFormat="1" applyFont="1" applyFill="1" applyBorder="1" applyAlignment="1">
      <alignment wrapText="1"/>
    </xf>
    <xf numFmtId="4" fontId="2" fillId="0" borderId="40" xfId="0" applyFont="1" applyFill="1" applyBorder="1" applyAlignment="1">
      <alignment vertical="top" wrapText="1"/>
    </xf>
    <xf numFmtId="4" fontId="2" fillId="0" borderId="40" xfId="0" quotePrefix="1" applyFont="1" applyFill="1" applyBorder="1" applyAlignment="1">
      <alignment horizontal="right" wrapText="1"/>
    </xf>
    <xf numFmtId="0" fontId="2" fillId="0" borderId="12" xfId="0" applyNumberFormat="1" applyFont="1" applyFill="1" applyBorder="1" applyAlignment="1">
      <alignment vertical="top" wrapText="1"/>
    </xf>
    <xf numFmtId="4" fontId="2" fillId="0" borderId="12" xfId="0" applyNumberFormat="1" applyFont="1" applyFill="1" applyBorder="1" applyAlignment="1">
      <alignment horizontal="left" vertical="center"/>
    </xf>
    <xf numFmtId="0" fontId="2" fillId="0" borderId="43" xfId="0" applyNumberFormat="1" applyFont="1" applyFill="1" applyBorder="1" applyAlignment="1">
      <alignment horizontal="center"/>
    </xf>
    <xf numFmtId="4" fontId="2" fillId="0" borderId="40" xfId="0" applyNumberFormat="1" applyFont="1" applyFill="1" applyBorder="1" applyAlignment="1">
      <alignment horizontal="left" vertical="top" wrapText="1"/>
    </xf>
    <xf numFmtId="0" fontId="2" fillId="0" borderId="40" xfId="0" applyNumberFormat="1" applyFont="1" applyFill="1" applyBorder="1" applyAlignment="1">
      <alignment horizontal="center" wrapText="1"/>
    </xf>
    <xf numFmtId="0" fontId="2" fillId="0" borderId="40" xfId="0" applyNumberFormat="1" applyFont="1" applyFill="1" applyBorder="1" applyAlignment="1">
      <alignment horizontal="right" wrapText="1"/>
    </xf>
    <xf numFmtId="3" fontId="2" fillId="0" borderId="40" xfId="0" quotePrefix="1" applyNumberFormat="1" applyFont="1" applyFill="1" applyBorder="1" applyAlignment="1">
      <alignment horizontal="right" wrapText="1"/>
    </xf>
    <xf numFmtId="4" fontId="2" fillId="0" borderId="41" xfId="0" applyNumberFormat="1" applyFont="1" applyFill="1" applyBorder="1" applyAlignment="1">
      <alignment wrapText="1"/>
    </xf>
    <xf numFmtId="0" fontId="3" fillId="0" borderId="39" xfId="0" applyNumberFormat="1" applyFont="1" applyFill="1" applyBorder="1" applyAlignment="1">
      <alignment horizontal="center" vertical="top"/>
    </xf>
    <xf numFmtId="0" fontId="2" fillId="0" borderId="39" xfId="0" applyNumberFormat="1" applyFont="1" applyFill="1" applyBorder="1" applyAlignment="1">
      <alignment horizontal="center"/>
    </xf>
    <xf numFmtId="0" fontId="2" fillId="0" borderId="40" xfId="0" applyNumberFormat="1" applyFont="1" applyFill="1" applyBorder="1" applyAlignment="1"/>
    <xf numFmtId="3" fontId="2" fillId="0" borderId="40" xfId="0" applyNumberFormat="1" applyFont="1" applyFill="1" applyBorder="1" applyAlignment="1">
      <alignment horizontal="right"/>
    </xf>
    <xf numFmtId="4" fontId="2" fillId="0" borderId="40" xfId="0" applyNumberFormat="1" applyFont="1" applyFill="1" applyBorder="1" applyAlignment="1"/>
    <xf numFmtId="0" fontId="4" fillId="0" borderId="39" xfId="0" applyNumberFormat="1" applyFont="1" applyFill="1" applyBorder="1" applyAlignment="1">
      <alignment horizontal="center"/>
    </xf>
    <xf numFmtId="4" fontId="2" fillId="0" borderId="44" xfId="0" applyNumberFormat="1" applyFont="1" applyFill="1" applyBorder="1" applyAlignment="1">
      <alignment wrapText="1"/>
    </xf>
    <xf numFmtId="4" fontId="2" fillId="0" borderId="40" xfId="0" applyFont="1" applyFill="1" applyBorder="1" applyAlignment="1">
      <alignment horizontal="right" wrapText="1"/>
    </xf>
    <xf numFmtId="4" fontId="2" fillId="0" borderId="41" xfId="0" applyFont="1" applyFill="1" applyBorder="1" applyAlignment="1">
      <alignment vertical="top" wrapText="1"/>
    </xf>
    <xf numFmtId="0" fontId="2" fillId="0" borderId="39" xfId="0" applyNumberFormat="1" applyFont="1" applyFill="1" applyBorder="1" applyAlignment="1">
      <alignment horizontal="center" vertical="top"/>
    </xf>
    <xf numFmtId="4" fontId="2" fillId="0" borderId="40" xfId="0" applyNumberFormat="1" applyFont="1" applyFill="1" applyBorder="1" applyAlignment="1">
      <alignment horizontal="left" wrapText="1"/>
    </xf>
    <xf numFmtId="3" fontId="2" fillId="0" borderId="40" xfId="0" quotePrefix="1" applyNumberFormat="1" applyFont="1" applyFill="1" applyBorder="1" applyAlignment="1">
      <alignment horizontal="right"/>
    </xf>
    <xf numFmtId="0" fontId="4" fillId="0" borderId="39" xfId="0" applyNumberFormat="1" applyFont="1" applyFill="1" applyBorder="1" applyAlignment="1">
      <alignment horizontal="center" vertical="top"/>
    </xf>
    <xf numFmtId="4" fontId="2" fillId="0" borderId="40" xfId="0" quotePrefix="1" applyNumberFormat="1" applyFont="1" applyFill="1" applyBorder="1" applyAlignment="1">
      <alignment horizontal="right"/>
    </xf>
    <xf numFmtId="0" fontId="2" fillId="0" borderId="39" xfId="0" applyNumberFormat="1" applyFont="1" applyFill="1" applyBorder="1" applyAlignment="1">
      <alignment horizontal="center" wrapText="1"/>
    </xf>
    <xf numFmtId="4" fontId="2" fillId="0" borderId="40" xfId="0" quotePrefix="1" applyNumberFormat="1" applyFont="1" applyFill="1" applyBorder="1" applyAlignment="1">
      <alignment horizontal="left" vertical="top" wrapText="1"/>
    </xf>
    <xf numFmtId="4" fontId="2" fillId="0" borderId="40" xfId="0" quotePrefix="1" applyNumberFormat="1" applyFont="1" applyFill="1" applyBorder="1" applyAlignment="1">
      <alignment horizontal="right" wrapText="1"/>
    </xf>
    <xf numFmtId="4" fontId="2" fillId="0" borderId="45" xfId="0" applyNumberFormat="1" applyFont="1" applyFill="1" applyBorder="1" applyAlignment="1">
      <alignment wrapText="1"/>
    </xf>
    <xf numFmtId="4" fontId="2" fillId="0" borderId="12" xfId="0" applyNumberFormat="1" applyFont="1" applyFill="1" applyBorder="1" applyAlignment="1">
      <alignment horizontal="right" vertical="center"/>
    </xf>
    <xf numFmtId="4" fontId="2" fillId="0" borderId="12" xfId="0" quotePrefix="1" applyNumberFormat="1" applyFont="1" applyFill="1" applyBorder="1" applyAlignment="1"/>
    <xf numFmtId="4" fontId="2" fillId="0" borderId="12" xfId="0" quotePrefix="1" applyNumberFormat="1" applyFont="1" applyFill="1" applyBorder="1" applyAlignment="1">
      <alignment horizontal="right"/>
    </xf>
    <xf numFmtId="4" fontId="2" fillId="0" borderId="36" xfId="0" applyNumberFormat="1" applyFont="1" applyFill="1" applyBorder="1" applyAlignment="1"/>
    <xf numFmtId="4" fontId="2" fillId="0" borderId="12" xfId="0" quotePrefix="1" applyNumberFormat="1" applyFont="1" applyFill="1" applyBorder="1" applyAlignment="1">
      <alignment horizontal="right" wrapText="1"/>
    </xf>
    <xf numFmtId="4" fontId="2" fillId="0" borderId="46" xfId="0" applyFont="1" applyFill="1" applyBorder="1" applyAlignment="1">
      <alignment vertical="top" wrapText="1"/>
    </xf>
    <xf numFmtId="4" fontId="2" fillId="0" borderId="45" xfId="0" quotePrefix="1" applyNumberFormat="1" applyFont="1" applyFill="1" applyBorder="1" applyAlignment="1">
      <alignment wrapText="1"/>
    </xf>
    <xf numFmtId="4" fontId="2" fillId="0" borderId="45" xfId="0" applyFont="1" applyFill="1" applyBorder="1" applyAlignment="1">
      <alignment vertical="top" wrapText="1"/>
    </xf>
    <xf numFmtId="4" fontId="2" fillId="0" borderId="45" xfId="0" quotePrefix="1" applyNumberFormat="1" applyFont="1" applyFill="1" applyBorder="1" applyAlignment="1">
      <alignment horizontal="right" wrapText="1"/>
    </xf>
    <xf numFmtId="4" fontId="2" fillId="0" borderId="45" xfId="0" quotePrefix="1" applyFont="1" applyFill="1" applyBorder="1" applyAlignment="1">
      <alignment vertical="top" wrapText="1"/>
    </xf>
    <xf numFmtId="4" fontId="2" fillId="0" borderId="45" xfId="0" applyFont="1" applyFill="1" applyBorder="1" applyAlignment="1">
      <alignment horizontal="center" wrapText="1"/>
    </xf>
    <xf numFmtId="4" fontId="2" fillId="0" borderId="45" xfId="0" quotePrefix="1" applyFont="1" applyFill="1" applyBorder="1" applyAlignment="1">
      <alignment wrapText="1"/>
    </xf>
    <xf numFmtId="4" fontId="2" fillId="0" borderId="45" xfId="0" applyNumberFormat="1" applyFont="1" applyFill="1" applyBorder="1" applyAlignment="1"/>
    <xf numFmtId="0" fontId="2" fillId="0" borderId="12" xfId="0" applyNumberFormat="1" applyFont="1" applyFill="1" applyBorder="1" applyAlignment="1">
      <alignment horizontal="left"/>
    </xf>
    <xf numFmtId="4" fontId="2" fillId="0" borderId="50" xfId="0" applyFont="1" applyFill="1" applyBorder="1" applyAlignment="1">
      <alignment horizontal="center" vertical="center" wrapText="1"/>
    </xf>
    <xf numFmtId="4" fontId="2" fillId="0" borderId="51" xfId="0" applyFont="1" applyFill="1" applyBorder="1" applyAlignment="1">
      <alignment horizontal="center" vertical="center" wrapText="1"/>
    </xf>
    <xf numFmtId="4" fontId="2" fillId="0" borderId="52" xfId="0" applyFont="1" applyFill="1" applyBorder="1" applyAlignment="1">
      <alignment horizontal="center" wrapText="1"/>
    </xf>
    <xf numFmtId="4" fontId="3" fillId="0" borderId="31" xfId="0" applyFont="1" applyFill="1" applyBorder="1" applyAlignment="1">
      <alignment horizontal="center" vertical="center" wrapText="1"/>
    </xf>
    <xf numFmtId="0" fontId="3" fillId="0" borderId="33" xfId="0" applyNumberFormat="1" applyFont="1" applyFill="1" applyBorder="1" applyAlignment="1">
      <alignment horizontal="left" vertical="center" wrapText="1"/>
    </xf>
    <xf numFmtId="4" fontId="2" fillId="0" borderId="53" xfId="0" applyFont="1" applyFill="1" applyBorder="1" applyAlignment="1">
      <alignment vertical="top" wrapText="1"/>
    </xf>
    <xf numFmtId="4" fontId="2" fillId="0" borderId="54" xfId="0" applyFont="1" applyFill="1" applyBorder="1" applyAlignment="1">
      <alignment vertical="top" wrapText="1"/>
    </xf>
    <xf numFmtId="4" fontId="2" fillId="0" borderId="25" xfId="0" applyFont="1" applyFill="1" applyBorder="1" applyAlignment="1">
      <alignment vertical="top" wrapText="1"/>
    </xf>
    <xf numFmtId="4" fontId="2" fillId="0" borderId="20" xfId="0" quotePrefix="1" applyFont="1" applyFill="1" applyBorder="1" applyAlignment="1">
      <alignment wrapText="1"/>
    </xf>
    <xf numFmtId="4" fontId="2" fillId="0" borderId="25" xfId="0" applyFont="1" applyFill="1" applyBorder="1" applyAlignment="1">
      <alignment horizontal="center" vertical="center" wrapText="1"/>
    </xf>
    <xf numFmtId="4" fontId="2" fillId="0" borderId="35" xfId="0" applyFont="1" applyFill="1" applyBorder="1" applyAlignment="1">
      <alignment horizontal="center" vertical="center" wrapText="1"/>
    </xf>
    <xf numFmtId="4" fontId="2" fillId="0" borderId="36" xfId="0" applyFont="1" applyFill="1" applyBorder="1" applyAlignment="1">
      <alignment vertical="top" wrapText="1"/>
    </xf>
    <xf numFmtId="0" fontId="2" fillId="0" borderId="20" xfId="0" applyNumberFormat="1" applyFont="1" applyFill="1" applyBorder="1" applyAlignment="1">
      <alignment wrapText="1"/>
    </xf>
    <xf numFmtId="4" fontId="2" fillId="0" borderId="35" xfId="0" applyFont="1" applyFill="1" applyBorder="1" applyAlignment="1">
      <alignment horizontal="center" vertical="top" wrapText="1"/>
    </xf>
    <xf numFmtId="4" fontId="2" fillId="0" borderId="36" xfId="0" applyNumberFormat="1" applyFont="1" applyFill="1" applyBorder="1" applyAlignment="1">
      <alignment wrapText="1"/>
    </xf>
    <xf numFmtId="49" fontId="3" fillId="0" borderId="31" xfId="0" applyNumberFormat="1" applyFont="1" applyFill="1" applyBorder="1" applyAlignment="1">
      <alignment horizontal="center"/>
    </xf>
    <xf numFmtId="49" fontId="3" fillId="0" borderId="34" xfId="0" applyNumberFormat="1" applyFont="1" applyFill="1" applyBorder="1" applyAlignment="1">
      <alignment horizontal="center"/>
    </xf>
    <xf numFmtId="0" fontId="3" fillId="0" borderId="32" xfId="0" applyNumberFormat="1" applyFont="1" applyFill="1" applyBorder="1" applyAlignment="1"/>
    <xf numFmtId="4" fontId="2" fillId="0" borderId="20" xfId="0" quotePrefix="1" applyNumberFormat="1" applyFont="1" applyFill="1" applyBorder="1" applyAlignment="1">
      <alignment wrapText="1"/>
    </xf>
    <xf numFmtId="4" fontId="2" fillId="0" borderId="35" xfId="0" applyFont="1" applyFill="1" applyBorder="1" applyAlignment="1">
      <alignment vertical="top" wrapText="1"/>
    </xf>
    <xf numFmtId="4" fontId="2" fillId="0" borderId="20" xfId="0" applyFont="1" applyFill="1" applyBorder="1" applyAlignment="1">
      <alignment vertical="top" wrapText="1"/>
    </xf>
    <xf numFmtId="4" fontId="4" fillId="0" borderId="35" xfId="0" applyFont="1" applyFill="1" applyBorder="1" applyAlignment="1">
      <alignment horizontal="center" vertical="top" wrapText="1"/>
    </xf>
    <xf numFmtId="4" fontId="4" fillId="0" borderId="25" xfId="0" applyFont="1" applyFill="1" applyBorder="1" applyAlignment="1">
      <alignment horizontal="center" vertical="center" wrapText="1"/>
    </xf>
    <xf numFmtId="4" fontId="2" fillId="0" borderId="26" xfId="0" applyNumberFormat="1" applyFont="1" applyFill="1" applyBorder="1" applyAlignment="1">
      <alignment horizontal="right" wrapText="1"/>
    </xf>
    <xf numFmtId="4" fontId="2" fillId="0" borderId="0" xfId="0" quotePrefix="1" applyFont="1" applyBorder="1">
      <alignment vertical="top" wrapText="1"/>
    </xf>
    <xf numFmtId="4" fontId="2" fillId="0" borderId="26" xfId="0" applyFont="1" applyFill="1" applyBorder="1" applyAlignment="1">
      <alignment horizontal="right" wrapText="1"/>
    </xf>
    <xf numFmtId="4" fontId="2" fillId="0" borderId="28" xfId="0" applyFont="1" applyFill="1" applyBorder="1" applyAlignment="1">
      <alignment vertical="top" wrapText="1"/>
    </xf>
    <xf numFmtId="4" fontId="2" fillId="0" borderId="26" xfId="0" applyFont="1" applyFill="1" applyBorder="1" applyAlignment="1">
      <alignment wrapText="1"/>
    </xf>
    <xf numFmtId="4" fontId="2" fillId="0" borderId="35" xfId="0" applyFont="1" applyFill="1" applyBorder="1" applyAlignment="1"/>
    <xf numFmtId="4" fontId="2" fillId="0" borderId="25" xfId="0" applyFont="1" applyFill="1" applyBorder="1" applyAlignment="1"/>
    <xf numFmtId="4" fontId="4" fillId="0" borderId="25" xfId="0" applyFont="1" applyFill="1" applyBorder="1" applyAlignment="1">
      <alignment horizontal="center" vertical="top"/>
    </xf>
    <xf numFmtId="0" fontId="2" fillId="0" borderId="20" xfId="0" applyNumberFormat="1" applyFont="1" applyFill="1" applyBorder="1" applyAlignment="1">
      <alignment vertical="center" wrapText="1"/>
    </xf>
    <xf numFmtId="0" fontId="2" fillId="0" borderId="35" xfId="0" applyNumberFormat="1" applyFont="1" applyFill="1" applyBorder="1" applyAlignment="1">
      <alignment horizontal="center" vertical="top"/>
    </xf>
    <xf numFmtId="4" fontId="2" fillId="0" borderId="20" xfId="0" applyNumberFormat="1" applyFont="1" applyFill="1" applyBorder="1" applyAlignment="1"/>
    <xf numFmtId="4" fontId="2" fillId="0" borderId="20" xfId="0" applyNumberFormat="1" applyFont="1" applyFill="1" applyBorder="1" applyAlignment="1">
      <alignment horizontal="left" vertical="top" wrapText="1"/>
    </xf>
    <xf numFmtId="4" fontId="2" fillId="0" borderId="35" xfId="0" applyFont="1" applyFill="1" applyBorder="1" applyAlignment="1">
      <alignment horizontal="center" vertical="top"/>
    </xf>
    <xf numFmtId="4" fontId="2" fillId="0" borderId="25" xfId="0" applyFont="1" applyFill="1" applyBorder="1" applyAlignment="1">
      <alignment horizontal="center" vertical="top"/>
    </xf>
    <xf numFmtId="4" fontId="0" fillId="0" borderId="0" xfId="0" applyFont="1" applyBorder="1" applyAlignment="1">
      <alignment vertical="top" wrapText="1"/>
    </xf>
    <xf numFmtId="4" fontId="0" fillId="0" borderId="0" xfId="0" applyFont="1" applyFill="1" applyBorder="1">
      <alignment vertical="top" wrapText="1"/>
    </xf>
    <xf numFmtId="4" fontId="0" fillId="0" borderId="0" xfId="0" applyFont="1" applyFill="1" applyBorder="1" applyAlignment="1">
      <alignment wrapText="1"/>
    </xf>
    <xf numFmtId="4" fontId="2" fillId="0" borderId="26" xfId="0" quotePrefix="1" applyNumberFormat="1" applyFont="1" applyFill="1" applyBorder="1" applyAlignment="1"/>
    <xf numFmtId="4" fontId="2" fillId="0" borderId="0" xfId="0" applyFont="1" applyFill="1" applyBorder="1" applyAlignment="1">
      <alignment horizontal="justify" vertical="top" wrapText="1"/>
    </xf>
    <xf numFmtId="4" fontId="2" fillId="0" borderId="0" xfId="0" applyFont="1" applyFill="1" applyBorder="1" applyAlignment="1">
      <alignment horizontal="justify" wrapText="1"/>
    </xf>
    <xf numFmtId="4" fontId="9" fillId="0" borderId="25" xfId="0" applyFont="1" applyFill="1" applyBorder="1" applyAlignment="1">
      <alignment horizontal="center" vertical="top" wrapText="1"/>
    </xf>
    <xf numFmtId="4" fontId="2" fillId="0" borderId="27" xfId="0" applyFont="1" applyFill="1" applyBorder="1" applyAlignment="1">
      <alignment vertical="top" wrapText="1"/>
    </xf>
    <xf numFmtId="4" fontId="2" fillId="0" borderId="26" xfId="0" applyNumberFormat="1" applyFont="1" applyFill="1" applyBorder="1" applyAlignment="1">
      <alignment vertical="center"/>
    </xf>
    <xf numFmtId="4" fontId="8" fillId="0" borderId="26" xfId="0" applyNumberFormat="1" applyFont="1" applyFill="1" applyBorder="1" applyAlignment="1"/>
    <xf numFmtId="2" fontId="3" fillId="0" borderId="50" xfId="0" applyNumberFormat="1" applyFont="1" applyFill="1" applyBorder="1" applyAlignment="1">
      <alignment horizontal="center"/>
    </xf>
    <xf numFmtId="4" fontId="3" fillId="0" borderId="55" xfId="0" applyNumberFormat="1" applyFont="1" applyFill="1" applyBorder="1" applyAlignment="1"/>
    <xf numFmtId="4" fontId="2" fillId="0" borderId="20" xfId="0" quotePrefix="1" applyNumberFormat="1" applyFont="1" applyFill="1" applyBorder="1" applyAlignment="1">
      <alignment horizontal="right"/>
    </xf>
    <xf numFmtId="4" fontId="2" fillId="0" borderId="25" xfId="0" applyFont="1" applyFill="1" applyBorder="1" applyAlignment="1">
      <alignment horizontal="center"/>
    </xf>
    <xf numFmtId="4" fontId="2" fillId="0" borderId="26" xfId="0" applyNumberFormat="1" applyFont="1" applyFill="1" applyBorder="1">
      <alignment vertical="top" wrapText="1"/>
    </xf>
    <xf numFmtId="0" fontId="2" fillId="0" borderId="35" xfId="0" applyNumberFormat="1" applyFont="1" applyFill="1" applyBorder="1" applyAlignment="1">
      <alignment horizontal="center"/>
    </xf>
    <xf numFmtId="4" fontId="2" fillId="0" borderId="0" xfId="0" quotePrefix="1" applyFont="1" applyFill="1" applyBorder="1">
      <alignment vertical="top" wrapText="1"/>
    </xf>
    <xf numFmtId="4" fontId="4" fillId="0" borderId="25" xfId="0" applyFont="1" applyFill="1" applyBorder="1" applyAlignment="1">
      <alignment horizontal="center"/>
    </xf>
    <xf numFmtId="0" fontId="2" fillId="0" borderId="25" xfId="0" applyNumberFormat="1" applyFont="1" applyFill="1" applyBorder="1" applyAlignment="1">
      <alignment horizontal="right" vertical="center"/>
    </xf>
    <xf numFmtId="4" fontId="2" fillId="0" borderId="26" xfId="0" applyNumberFormat="1" applyFont="1" applyFill="1" applyBorder="1" applyAlignment="1">
      <alignment horizontal="right" vertical="center"/>
    </xf>
    <xf numFmtId="4" fontId="2" fillId="0" borderId="56" xfId="0" applyFont="1" applyFill="1" applyBorder="1" applyAlignment="1">
      <alignment vertical="top" wrapText="1"/>
    </xf>
    <xf numFmtId="4" fontId="2" fillId="0" borderId="56" xfId="0" applyNumberFormat="1" applyFont="1" applyFill="1" applyBorder="1" applyAlignment="1"/>
    <xf numFmtId="4" fontId="2" fillId="0" borderId="57" xfId="0" applyFont="1" applyFill="1" applyBorder="1" applyAlignment="1">
      <alignment vertical="top" wrapText="1"/>
    </xf>
    <xf numFmtId="4" fontId="2" fillId="0" borderId="56" xfId="0" applyNumberFormat="1" applyFont="1" applyFill="1" applyBorder="1" applyAlignment="1">
      <alignment horizontal="right" wrapText="1"/>
    </xf>
    <xf numFmtId="4" fontId="2" fillId="0" borderId="28" xfId="0" applyNumberFormat="1" applyFont="1" applyFill="1" applyBorder="1" applyAlignment="1"/>
    <xf numFmtId="4" fontId="2" fillId="0" borderId="58" xfId="0" applyNumberFormat="1" applyFont="1" applyFill="1" applyBorder="1" applyAlignment="1"/>
    <xf numFmtId="4" fontId="2" fillId="0" borderId="0" xfId="0" applyFont="1" applyFill="1" applyBorder="1" applyAlignment="1">
      <alignment vertical="center" wrapText="1"/>
    </xf>
    <xf numFmtId="4" fontId="2" fillId="0" borderId="26" xfId="0" quotePrefix="1" applyNumberFormat="1" applyFont="1" applyFill="1" applyBorder="1" applyAlignment="1">
      <alignment vertical="center"/>
    </xf>
    <xf numFmtId="49" fontId="1" fillId="0" borderId="31" xfId="0" applyNumberFormat="1" applyFont="1" applyFill="1" applyBorder="1" applyAlignment="1">
      <alignment horizontal="center"/>
    </xf>
    <xf numFmtId="0" fontId="1" fillId="0" borderId="32" xfId="0" applyNumberFormat="1" applyFont="1" applyFill="1" applyBorder="1" applyAlignment="1">
      <alignment horizontal="center"/>
    </xf>
    <xf numFmtId="2" fontId="3" fillId="0" borderId="59" xfId="0" applyNumberFormat="1" applyFont="1" applyFill="1" applyBorder="1" applyAlignment="1">
      <alignment horizontal="center"/>
    </xf>
    <xf numFmtId="2" fontId="3" fillId="0" borderId="59" xfId="0" applyNumberFormat="1" applyFont="1" applyFill="1" applyBorder="1" applyAlignment="1"/>
    <xf numFmtId="4" fontId="8" fillId="0" borderId="28" xfId="0" applyFont="1" applyFill="1" applyBorder="1" applyAlignment="1">
      <alignment horizontal="center" vertical="top" wrapText="1"/>
    </xf>
    <xf numFmtId="4" fontId="2" fillId="0" borderId="28" xfId="0" applyFont="1" applyFill="1" applyBorder="1" applyAlignment="1">
      <alignment horizontal="right" vertical="top"/>
    </xf>
    <xf numFmtId="4" fontId="2" fillId="0" borderId="27" xfId="0" applyFont="1" applyFill="1" applyBorder="1" applyAlignment="1">
      <alignment horizontal="left" vertical="top"/>
    </xf>
    <xf numFmtId="4" fontId="2" fillId="0" borderId="43" xfId="0" applyFont="1" applyFill="1" applyBorder="1" applyAlignment="1">
      <alignment horizontal="left" vertical="top"/>
    </xf>
    <xf numFmtId="4" fontId="2" fillId="0" borderId="42" xfId="0" applyFont="1" applyFill="1" applyBorder="1" applyAlignment="1">
      <alignment horizontal="left" vertical="top"/>
    </xf>
    <xf numFmtId="4" fontId="2" fillId="0" borderId="42" xfId="0" applyFont="1" applyFill="1" applyBorder="1" applyAlignment="1">
      <alignment vertical="top" wrapText="1"/>
    </xf>
    <xf numFmtId="4" fontId="2" fillId="0" borderId="42" xfId="0" applyFont="1" applyFill="1" applyBorder="1" applyAlignment="1">
      <alignment horizontal="center" vertical="top"/>
    </xf>
    <xf numFmtId="4" fontId="2" fillId="0" borderId="58" xfId="0" applyFont="1" applyFill="1" applyBorder="1" applyAlignment="1">
      <alignment vertical="top" wrapText="1"/>
    </xf>
    <xf numFmtId="4" fontId="11" fillId="0" borderId="47" xfId="0" applyFont="1" applyFill="1" applyBorder="1" applyAlignment="1">
      <alignment horizontal="center" vertical="center" wrapText="1"/>
    </xf>
    <xf numFmtId="4" fontId="11" fillId="0" borderId="48" xfId="0" applyFont="1" applyFill="1" applyBorder="1" applyAlignment="1">
      <alignment horizontal="center" vertical="center" wrapText="1"/>
    </xf>
    <xf numFmtId="4" fontId="11" fillId="0" borderId="49" xfId="0" applyFont="1" applyFill="1" applyBorder="1" applyAlignment="1">
      <alignment horizontal="center" vertical="center" wrapText="1"/>
    </xf>
    <xf numFmtId="4" fontId="2" fillId="0" borderId="0" xfId="0" applyFont="1" applyFill="1" applyAlignment="1"/>
  </cellXfs>
  <cellStyles count="5">
    <cellStyle name="Currency" xfId="4" builtinId="4"/>
    <cellStyle name="Euro" xfId="1"/>
    <cellStyle name="Normal" xfId="0" builtinId="0" customBuiltin="1"/>
    <cellStyle name="Normal 10" xfId="3"/>
    <cellStyle name="Normal 2" xfId="2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CCECFF"/>
      <color rgb="FFCC99FF"/>
      <color rgb="FFFFFFCC"/>
      <color rgb="FF009900"/>
      <color rgb="FFFFFF66"/>
      <color rgb="FFFFFFFF"/>
      <color rgb="FF26D50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26D509"/>
  </sheetPr>
  <dimension ref="A1:N2466"/>
  <sheetViews>
    <sheetView showZeros="0" tabSelected="1" view="pageBreakPreview" zoomScale="90" zoomScaleNormal="110" zoomScaleSheetLayoutView="90" workbookViewId="0">
      <selection activeCell="B6" sqref="B6:B7"/>
    </sheetView>
  </sheetViews>
  <sheetFormatPr defaultRowHeight="12.75" x14ac:dyDescent="0.2"/>
  <cols>
    <col min="1" max="1" width="9.140625" style="8" customWidth="1"/>
    <col min="2" max="2" width="35.85546875" style="8" customWidth="1"/>
    <col min="3" max="3" width="5.7109375" style="8" customWidth="1"/>
    <col min="4" max="4" width="10.85546875" style="8" customWidth="1"/>
    <col min="5" max="5" width="12.7109375" style="8" customWidth="1"/>
    <col min="6" max="6" width="17.42578125" style="8" customWidth="1"/>
    <col min="7" max="7" width="23.42578125" style="8" hidden="1" customWidth="1"/>
    <col min="8" max="8" width="8.7109375" style="8" customWidth="1"/>
    <col min="9" max="9" width="12.5703125" style="8" customWidth="1"/>
    <col min="10" max="16384" width="9.140625" style="8"/>
  </cols>
  <sheetData>
    <row r="1" spans="1:12" s="6" customFormat="1" ht="15" customHeight="1" x14ac:dyDescent="0.2">
      <c r="A1" s="446" t="s">
        <v>1524</v>
      </c>
      <c r="B1" s="447"/>
      <c r="C1" s="447"/>
      <c r="D1" s="447"/>
      <c r="E1" s="447"/>
      <c r="F1" s="448"/>
      <c r="G1" s="5"/>
      <c r="H1" s="7"/>
      <c r="I1" s="7"/>
      <c r="J1" s="7"/>
      <c r="K1" s="8"/>
      <c r="L1" s="8"/>
    </row>
    <row r="2" spans="1:12" s="6" customFormat="1" ht="18" customHeight="1" thickBot="1" x14ac:dyDescent="0.25">
      <c r="A2" s="260" t="s">
        <v>934</v>
      </c>
      <c r="B2" s="261"/>
      <c r="C2" s="261"/>
      <c r="D2" s="261"/>
      <c r="E2" s="261"/>
      <c r="F2" s="262"/>
      <c r="G2" s="5"/>
      <c r="H2" s="7"/>
      <c r="I2" s="7"/>
      <c r="J2" s="7"/>
      <c r="K2" s="8"/>
      <c r="L2" s="8"/>
    </row>
    <row r="3" spans="1:12" ht="39" thickBot="1" x14ac:dyDescent="0.25">
      <c r="A3" s="369" t="s">
        <v>29</v>
      </c>
      <c r="B3" s="256" t="s">
        <v>32</v>
      </c>
      <c r="C3" s="258" t="s">
        <v>36</v>
      </c>
      <c r="D3" s="47" t="s">
        <v>30</v>
      </c>
      <c r="E3" s="47" t="s">
        <v>271</v>
      </c>
      <c r="F3" s="370" t="s">
        <v>272</v>
      </c>
    </row>
    <row r="4" spans="1:12" ht="13.5" thickBot="1" x14ac:dyDescent="0.25">
      <c r="A4" s="369"/>
      <c r="B4" s="257"/>
      <c r="C4" s="259"/>
      <c r="D4" s="48" t="s">
        <v>33</v>
      </c>
      <c r="E4" s="48" t="s">
        <v>34</v>
      </c>
      <c r="F4" s="371" t="s">
        <v>35</v>
      </c>
    </row>
    <row r="5" spans="1:12" ht="15.75" thickBot="1" x14ac:dyDescent="0.25">
      <c r="A5" s="372" t="s">
        <v>21</v>
      </c>
      <c r="B5" s="255" t="s">
        <v>41</v>
      </c>
      <c r="C5" s="255"/>
      <c r="D5" s="255"/>
      <c r="E5" s="255"/>
      <c r="F5" s="373"/>
    </row>
    <row r="6" spans="1:12" x14ac:dyDescent="0.2">
      <c r="A6" s="374"/>
      <c r="B6" s="68"/>
      <c r="C6" s="68"/>
      <c r="D6" s="68"/>
      <c r="E6" s="68"/>
      <c r="F6" s="375"/>
    </row>
    <row r="7" spans="1:12" x14ac:dyDescent="0.2">
      <c r="A7" s="376"/>
      <c r="B7" s="65" t="s">
        <v>160</v>
      </c>
      <c r="C7" s="25"/>
      <c r="D7" s="25"/>
      <c r="E7" s="25"/>
      <c r="F7" s="242"/>
    </row>
    <row r="8" spans="1:12" ht="63.75" x14ac:dyDescent="0.2">
      <c r="A8" s="376"/>
      <c r="B8" s="377" t="s">
        <v>246</v>
      </c>
      <c r="C8" s="25"/>
      <c r="D8" s="25"/>
      <c r="E8" s="25"/>
      <c r="F8" s="242"/>
    </row>
    <row r="9" spans="1:12" ht="63.75" x14ac:dyDescent="0.2">
      <c r="A9" s="376"/>
      <c r="B9" s="217" t="s">
        <v>935</v>
      </c>
      <c r="C9" s="25"/>
      <c r="D9" s="25"/>
      <c r="E9" s="25"/>
      <c r="F9" s="242"/>
    </row>
    <row r="10" spans="1:12" ht="25.5" x14ac:dyDescent="0.2">
      <c r="A10" s="378"/>
      <c r="B10" s="83" t="s">
        <v>247</v>
      </c>
      <c r="C10" s="25"/>
      <c r="D10" s="25"/>
      <c r="E10" s="25"/>
      <c r="F10" s="242"/>
    </row>
    <row r="11" spans="1:12" x14ac:dyDescent="0.2">
      <c r="A11" s="378"/>
      <c r="B11" s="83"/>
      <c r="C11" s="25"/>
      <c r="D11" s="25"/>
      <c r="E11" s="25"/>
      <c r="F11" s="242"/>
    </row>
    <row r="12" spans="1:12" ht="51" x14ac:dyDescent="0.2">
      <c r="A12" s="213" t="s">
        <v>10</v>
      </c>
      <c r="B12" s="171" t="s">
        <v>776</v>
      </c>
      <c r="C12" s="201"/>
      <c r="D12" s="202"/>
      <c r="E12" s="202"/>
      <c r="F12" s="242"/>
    </row>
    <row r="13" spans="1:12" ht="51" x14ac:dyDescent="0.2">
      <c r="A13" s="378"/>
      <c r="B13" s="171" t="s">
        <v>773</v>
      </c>
      <c r="C13" s="201"/>
      <c r="D13" s="202"/>
      <c r="E13" s="202"/>
      <c r="F13" s="242"/>
    </row>
    <row r="14" spans="1:12" x14ac:dyDescent="0.2">
      <c r="A14" s="378"/>
      <c r="B14" s="171"/>
      <c r="C14" s="201"/>
      <c r="D14" s="202"/>
      <c r="E14" s="202"/>
      <c r="F14" s="242"/>
    </row>
    <row r="15" spans="1:12" x14ac:dyDescent="0.2">
      <c r="A15" s="378"/>
      <c r="B15" s="263" t="s">
        <v>882</v>
      </c>
      <c r="C15" s="201" t="s">
        <v>39</v>
      </c>
      <c r="D15" s="264">
        <f>0.3*717.2</f>
        <v>215.16</v>
      </c>
      <c r="E15" s="171"/>
      <c r="F15" s="214">
        <f>E15*D15</f>
        <v>0</v>
      </c>
    </row>
    <row r="16" spans="1:12" x14ac:dyDescent="0.2">
      <c r="A16" s="378"/>
      <c r="B16" s="83"/>
      <c r="C16" s="25"/>
      <c r="D16" s="25"/>
      <c r="E16" s="25"/>
      <c r="F16" s="242"/>
    </row>
    <row r="17" spans="1:6" ht="38.25" x14ac:dyDescent="0.2">
      <c r="A17" s="213" t="s">
        <v>1453</v>
      </c>
      <c r="B17" s="157" t="s">
        <v>883</v>
      </c>
      <c r="C17" s="25"/>
      <c r="D17" s="25"/>
      <c r="E17" s="25"/>
      <c r="F17" s="242"/>
    </row>
    <row r="18" spans="1:6" ht="38.25" x14ac:dyDescent="0.2">
      <c r="A18" s="378"/>
      <c r="B18" s="88" t="s">
        <v>248</v>
      </c>
      <c r="C18" s="25"/>
      <c r="D18" s="25"/>
      <c r="E18" s="25"/>
      <c r="F18" s="242"/>
    </row>
    <row r="19" spans="1:6" ht="51" x14ac:dyDescent="0.2">
      <c r="A19" s="378"/>
      <c r="B19" s="88" t="s">
        <v>249</v>
      </c>
      <c r="C19" s="25"/>
      <c r="D19" s="25"/>
      <c r="E19" s="25"/>
      <c r="F19" s="242"/>
    </row>
    <row r="20" spans="1:6" ht="76.5" customHeight="1" x14ac:dyDescent="0.2">
      <c r="A20" s="213"/>
      <c r="B20" s="88" t="s">
        <v>884</v>
      </c>
      <c r="C20" s="25"/>
      <c r="D20" s="24"/>
      <c r="E20" s="25"/>
      <c r="F20" s="242"/>
    </row>
    <row r="21" spans="1:6" ht="63.75" x14ac:dyDescent="0.2">
      <c r="A21" s="378"/>
      <c r="B21" s="265" t="s">
        <v>885</v>
      </c>
      <c r="C21" s="25"/>
      <c r="D21" s="25"/>
      <c r="E21" s="25"/>
      <c r="F21" s="242"/>
    </row>
    <row r="22" spans="1:6" ht="25.5" x14ac:dyDescent="0.2">
      <c r="A22" s="378"/>
      <c r="B22" s="157" t="s">
        <v>209</v>
      </c>
      <c r="C22" s="25"/>
      <c r="D22" s="25"/>
      <c r="E22" s="25"/>
      <c r="F22" s="242"/>
    </row>
    <row r="23" spans="1:6" ht="26.25" thickBot="1" x14ac:dyDescent="0.25">
      <c r="A23" s="379"/>
      <c r="B23" s="284" t="s">
        <v>886</v>
      </c>
      <c r="C23" s="71"/>
      <c r="D23" s="71"/>
      <c r="E23" s="71"/>
      <c r="F23" s="380"/>
    </row>
    <row r="24" spans="1:6" x14ac:dyDescent="0.2">
      <c r="A24" s="378"/>
      <c r="B24" s="157"/>
      <c r="C24" s="25"/>
      <c r="D24" s="25"/>
      <c r="E24" s="25"/>
      <c r="F24" s="242"/>
    </row>
    <row r="25" spans="1:6" ht="51" x14ac:dyDescent="0.2">
      <c r="A25" s="378"/>
      <c r="B25" s="157" t="s">
        <v>250</v>
      </c>
      <c r="C25" s="25"/>
      <c r="D25" s="25"/>
      <c r="E25" s="25"/>
      <c r="F25" s="242"/>
    </row>
    <row r="26" spans="1:6" ht="38.25" x14ac:dyDescent="0.2">
      <c r="A26" s="378"/>
      <c r="B26" s="381" t="s">
        <v>251</v>
      </c>
      <c r="C26" s="25"/>
      <c r="D26" s="25"/>
      <c r="E26" s="25"/>
      <c r="F26" s="242"/>
    </row>
    <row r="27" spans="1:6" x14ac:dyDescent="0.2">
      <c r="A27" s="378"/>
      <c r="B27" s="9"/>
      <c r="C27" s="25"/>
      <c r="D27" s="25"/>
      <c r="E27" s="25"/>
      <c r="F27" s="242"/>
    </row>
    <row r="28" spans="1:6" ht="89.25" x14ac:dyDescent="0.2">
      <c r="A28" s="378"/>
      <c r="B28" s="21" t="s">
        <v>887</v>
      </c>
      <c r="C28" s="25"/>
      <c r="D28" s="25"/>
      <c r="E28" s="25"/>
      <c r="F28" s="242"/>
    </row>
    <row r="29" spans="1:6" ht="51" x14ac:dyDescent="0.2">
      <c r="A29" s="378"/>
      <c r="B29" s="266" t="s">
        <v>1348</v>
      </c>
      <c r="C29" s="22" t="s">
        <v>39</v>
      </c>
      <c r="D29" s="267">
        <f>1.99*717.2-(0.5*1.8*(27.15+42.5+5*8+3.4)+1.4*0.5*(5*6+3.4*3+8.2+5.8*2)+3.1*42.5+7.8*5)</f>
        <v>1112.7330000000002</v>
      </c>
      <c r="E29" s="23"/>
      <c r="F29" s="214">
        <f>E29*D29</f>
        <v>0</v>
      </c>
    </row>
    <row r="30" spans="1:6" s="82" customFormat="1" x14ac:dyDescent="0.2">
      <c r="A30" s="213"/>
      <c r="B30" s="70"/>
      <c r="C30" s="25"/>
      <c r="D30" s="24"/>
      <c r="E30" s="25"/>
      <c r="F30" s="242"/>
    </row>
    <row r="31" spans="1:6" s="82" customFormat="1" ht="63.75" x14ac:dyDescent="0.2">
      <c r="A31" s="213" t="s">
        <v>205</v>
      </c>
      <c r="B31" s="159" t="s">
        <v>210</v>
      </c>
      <c r="C31" s="25"/>
      <c r="D31" s="24"/>
      <c r="E31" s="25"/>
      <c r="F31" s="242"/>
    </row>
    <row r="32" spans="1:6" s="82" customFormat="1" ht="38.25" x14ac:dyDescent="0.2">
      <c r="A32" s="213"/>
      <c r="B32" s="157" t="s">
        <v>260</v>
      </c>
      <c r="C32" s="25"/>
      <c r="D32" s="24"/>
      <c r="E32" s="25"/>
      <c r="F32" s="242"/>
    </row>
    <row r="33" spans="1:6" s="82" customFormat="1" x14ac:dyDescent="0.2">
      <c r="A33" s="213"/>
      <c r="B33" s="21"/>
      <c r="C33" s="25"/>
      <c r="D33" s="25"/>
      <c r="E33" s="25"/>
      <c r="F33" s="242"/>
    </row>
    <row r="34" spans="1:6" s="82" customFormat="1" ht="38.25" x14ac:dyDescent="0.2">
      <c r="A34" s="213"/>
      <c r="B34" s="263" t="s">
        <v>888</v>
      </c>
      <c r="C34" s="22" t="s">
        <v>39</v>
      </c>
      <c r="D34" s="263">
        <f>1.29*146.13+1.32*(18.22+25.94+11.12+34.2*2+24.38+11.07+15.53+34.2*2+36.23*2+18.36+33.73)</f>
        <v>673.75290000000007</v>
      </c>
      <c r="E34" s="20"/>
      <c r="F34" s="214">
        <f>D34*E34</f>
        <v>0</v>
      </c>
    </row>
    <row r="35" spans="1:6" s="82" customFormat="1" x14ac:dyDescent="0.2">
      <c r="A35" s="213"/>
      <c r="B35" s="26"/>
      <c r="C35" s="25"/>
      <c r="D35" s="24"/>
      <c r="E35" s="25"/>
      <c r="F35" s="242"/>
    </row>
    <row r="36" spans="1:6" ht="38.25" x14ac:dyDescent="0.2">
      <c r="A36" s="213" t="s">
        <v>178</v>
      </c>
      <c r="B36" s="21" t="s">
        <v>287</v>
      </c>
      <c r="C36" s="21"/>
      <c r="D36" s="21"/>
      <c r="E36" s="25"/>
      <c r="F36" s="242"/>
    </row>
    <row r="37" spans="1:6" ht="25.5" x14ac:dyDescent="0.2">
      <c r="A37" s="213"/>
      <c r="B37" s="21" t="s">
        <v>288</v>
      </c>
      <c r="C37" s="21"/>
      <c r="D37" s="21"/>
      <c r="E37" s="25"/>
      <c r="F37" s="242"/>
    </row>
    <row r="38" spans="1:6" x14ac:dyDescent="0.2">
      <c r="A38" s="213"/>
      <c r="B38" s="21" t="s">
        <v>252</v>
      </c>
      <c r="C38" s="21"/>
      <c r="D38" s="21"/>
      <c r="E38" s="25"/>
      <c r="F38" s="242"/>
    </row>
    <row r="39" spans="1:6" x14ac:dyDescent="0.2">
      <c r="A39" s="213"/>
      <c r="B39" s="21"/>
      <c r="C39" s="21"/>
      <c r="D39" s="21"/>
      <c r="E39" s="25"/>
      <c r="F39" s="242"/>
    </row>
    <row r="40" spans="1:6" x14ac:dyDescent="0.2">
      <c r="A40" s="213"/>
      <c r="B40" s="24" t="s">
        <v>889</v>
      </c>
      <c r="C40" s="268" t="s">
        <v>39</v>
      </c>
      <c r="D40" s="24">
        <f>1.2*(1070.73-673.75)</f>
        <v>476.37599999999998</v>
      </c>
      <c r="E40" s="65"/>
      <c r="F40" s="214">
        <f>D40*E40</f>
        <v>0</v>
      </c>
    </row>
    <row r="41" spans="1:6" x14ac:dyDescent="0.2">
      <c r="A41" s="213"/>
      <c r="B41" s="24"/>
      <c r="C41" s="22"/>
      <c r="D41" s="24"/>
      <c r="E41" s="65"/>
      <c r="F41" s="214"/>
    </row>
    <row r="42" spans="1:6" ht="25.5" x14ac:dyDescent="0.2">
      <c r="A42" s="213" t="s">
        <v>211</v>
      </c>
      <c r="B42" s="21" t="s">
        <v>856</v>
      </c>
      <c r="C42" s="22"/>
      <c r="D42" s="24"/>
      <c r="E42" s="65"/>
      <c r="F42" s="214"/>
    </row>
    <row r="43" spans="1:6" ht="25.5" x14ac:dyDescent="0.2">
      <c r="A43" s="213"/>
      <c r="B43" s="377" t="s">
        <v>857</v>
      </c>
      <c r="C43" s="22"/>
      <c r="D43" s="24"/>
      <c r="E43" s="65"/>
      <c r="F43" s="214"/>
    </row>
    <row r="44" spans="1:6" x14ac:dyDescent="0.2">
      <c r="A44" s="213"/>
      <c r="B44" s="21" t="s">
        <v>47</v>
      </c>
      <c r="C44" s="22"/>
      <c r="D44" s="24"/>
      <c r="E44" s="65"/>
      <c r="F44" s="214"/>
    </row>
    <row r="45" spans="1:6" x14ac:dyDescent="0.2">
      <c r="A45" s="213"/>
      <c r="B45" s="21"/>
      <c r="C45" s="22"/>
      <c r="D45" s="65"/>
      <c r="E45" s="65"/>
      <c r="F45" s="214"/>
    </row>
    <row r="46" spans="1:6" x14ac:dyDescent="0.2">
      <c r="A46" s="213"/>
      <c r="B46" s="20" t="s">
        <v>890</v>
      </c>
      <c r="C46" s="22"/>
      <c r="D46" s="24"/>
      <c r="E46" s="65"/>
      <c r="F46" s="214"/>
    </row>
    <row r="47" spans="1:6" ht="26.25" thickBot="1" x14ac:dyDescent="0.25">
      <c r="A47" s="382"/>
      <c r="B47" s="285" t="s">
        <v>811</v>
      </c>
      <c r="C47" s="286" t="s">
        <v>39</v>
      </c>
      <c r="D47" s="287">
        <f>0.5*2.32*(2.95*2+5.77*2+5.75*2+5.45*4+2.47*2+5.37)</f>
        <v>70.817999999999984</v>
      </c>
      <c r="E47" s="288"/>
      <c r="F47" s="383">
        <f>D47*E47</f>
        <v>0</v>
      </c>
    </row>
    <row r="48" spans="1:6" x14ac:dyDescent="0.2">
      <c r="A48" s="213"/>
      <c r="B48" s="24"/>
      <c r="C48" s="22"/>
      <c r="D48" s="24"/>
      <c r="E48" s="65"/>
      <c r="F48" s="214"/>
    </row>
    <row r="49" spans="1:10" ht="25.5" x14ac:dyDescent="0.2">
      <c r="A49" s="213" t="s">
        <v>775</v>
      </c>
      <c r="B49" s="21" t="s">
        <v>858</v>
      </c>
      <c r="C49" s="22"/>
      <c r="D49" s="24"/>
      <c r="E49" s="65"/>
      <c r="F49" s="214"/>
    </row>
    <row r="50" spans="1:10" ht="25.5" x14ac:dyDescent="0.2">
      <c r="A50" s="213"/>
      <c r="B50" s="377" t="s">
        <v>261</v>
      </c>
      <c r="C50" s="22"/>
      <c r="D50" s="24"/>
      <c r="E50" s="65"/>
      <c r="F50" s="214"/>
    </row>
    <row r="51" spans="1:10" x14ac:dyDescent="0.2">
      <c r="A51" s="213"/>
      <c r="B51" s="21" t="s">
        <v>47</v>
      </c>
      <c r="C51" s="22"/>
      <c r="D51" s="24"/>
      <c r="E51" s="65"/>
      <c r="F51" s="214"/>
    </row>
    <row r="52" spans="1:10" x14ac:dyDescent="0.2">
      <c r="A52" s="213"/>
      <c r="B52" s="24"/>
      <c r="C52" s="22"/>
      <c r="D52" s="24"/>
      <c r="E52" s="65"/>
      <c r="F52" s="214"/>
    </row>
    <row r="53" spans="1:10" ht="25.5" x14ac:dyDescent="0.2">
      <c r="A53" s="213"/>
      <c r="B53" s="20" t="s">
        <v>859</v>
      </c>
      <c r="C53" s="22"/>
      <c r="D53" s="24"/>
      <c r="E53" s="65"/>
      <c r="F53" s="214"/>
    </row>
    <row r="54" spans="1:10" x14ac:dyDescent="0.2">
      <c r="A54" s="213"/>
      <c r="B54" s="24" t="s">
        <v>774</v>
      </c>
      <c r="C54" s="22" t="s">
        <v>39</v>
      </c>
      <c r="D54" s="24">
        <f>0.75*1.75*2.6</f>
        <v>3.4125000000000001</v>
      </c>
      <c r="E54" s="65"/>
      <c r="F54" s="214">
        <f>D54*E54</f>
        <v>0</v>
      </c>
    </row>
    <row r="55" spans="1:10" x14ac:dyDescent="0.2">
      <c r="A55" s="213"/>
      <c r="B55" s="24"/>
      <c r="C55" s="22"/>
      <c r="D55" s="24"/>
      <c r="E55" s="65"/>
      <c r="F55" s="214"/>
    </row>
    <row r="56" spans="1:10" ht="25.5" x14ac:dyDescent="0.2">
      <c r="A56" s="213" t="s">
        <v>1454</v>
      </c>
      <c r="B56" s="21" t="s">
        <v>891</v>
      </c>
      <c r="C56" s="22"/>
      <c r="D56" s="56"/>
      <c r="E56" s="65"/>
      <c r="F56" s="214"/>
    </row>
    <row r="57" spans="1:10" ht="25.5" x14ac:dyDescent="0.2">
      <c r="A57" s="213"/>
      <c r="B57" s="377" t="s">
        <v>892</v>
      </c>
      <c r="C57" s="22"/>
      <c r="D57" s="56"/>
      <c r="E57" s="65"/>
      <c r="F57" s="214"/>
    </row>
    <row r="58" spans="1:10" x14ac:dyDescent="0.2">
      <c r="A58" s="213"/>
      <c r="B58" s="21" t="s">
        <v>47</v>
      </c>
      <c r="C58" s="22"/>
      <c r="D58" s="56"/>
      <c r="E58" s="65"/>
      <c r="F58" s="214"/>
    </row>
    <row r="59" spans="1:10" x14ac:dyDescent="0.2">
      <c r="A59" s="213"/>
      <c r="B59" s="21"/>
      <c r="C59" s="22"/>
      <c r="D59" s="69"/>
      <c r="E59" s="65"/>
      <c r="F59" s="214"/>
    </row>
    <row r="60" spans="1:10" x14ac:dyDescent="0.2">
      <c r="A60" s="213"/>
      <c r="B60" s="19" t="s">
        <v>893</v>
      </c>
      <c r="C60" s="22" t="s">
        <v>39</v>
      </c>
      <c r="D60" s="56">
        <f>2.4*1.91*2.92</f>
        <v>13.385279999999998</v>
      </c>
      <c r="E60" s="65"/>
      <c r="F60" s="214">
        <f>D60*E60</f>
        <v>0</v>
      </c>
    </row>
    <row r="61" spans="1:10" ht="13.5" thickBot="1" x14ac:dyDescent="0.25">
      <c r="A61" s="213"/>
      <c r="B61" s="21"/>
      <c r="C61" s="22"/>
      <c r="D61" s="24"/>
      <c r="E61" s="65"/>
      <c r="F61" s="214"/>
    </row>
    <row r="62" spans="1:10" s="2" customFormat="1" ht="15.95" customHeight="1" thickBot="1" x14ac:dyDescent="0.25">
      <c r="A62" s="384" t="str">
        <f>A5</f>
        <v>1.</v>
      </c>
      <c r="B62" s="49" t="s">
        <v>9</v>
      </c>
      <c r="C62" s="50"/>
      <c r="D62" s="50"/>
      <c r="E62" s="51"/>
      <c r="F62" s="238">
        <f>SUM(F6:F61)</f>
        <v>0</v>
      </c>
      <c r="G62" s="4"/>
      <c r="H62" s="3"/>
      <c r="I62" s="3"/>
      <c r="J62" s="3"/>
    </row>
    <row r="63" spans="1:10" s="2" customFormat="1" ht="15.95" customHeight="1" thickBot="1" x14ac:dyDescent="0.25">
      <c r="A63" s="385" t="s">
        <v>22</v>
      </c>
      <c r="B63" s="49" t="s">
        <v>48</v>
      </c>
      <c r="C63" s="50"/>
      <c r="D63" s="50"/>
      <c r="E63" s="60"/>
      <c r="F63" s="386"/>
      <c r="G63" s="4"/>
      <c r="H63" s="3"/>
      <c r="I63" s="3"/>
      <c r="J63" s="3"/>
    </row>
    <row r="64" spans="1:10" x14ac:dyDescent="0.2">
      <c r="A64" s="376"/>
      <c r="B64" s="25"/>
      <c r="C64" s="25"/>
      <c r="D64" s="25"/>
      <c r="E64" s="68"/>
      <c r="F64" s="242"/>
    </row>
    <row r="65" spans="1:6" x14ac:dyDescent="0.2">
      <c r="A65" s="376"/>
      <c r="B65" s="25" t="s">
        <v>60</v>
      </c>
      <c r="C65" s="25"/>
      <c r="D65" s="25"/>
      <c r="E65" s="25"/>
      <c r="F65" s="242"/>
    </row>
    <row r="66" spans="1:6" ht="89.25" x14ac:dyDescent="0.2">
      <c r="A66" s="376"/>
      <c r="B66" s="25" t="s">
        <v>289</v>
      </c>
      <c r="C66" s="25"/>
      <c r="D66" s="25"/>
      <c r="E66" s="25"/>
      <c r="F66" s="242"/>
    </row>
    <row r="67" spans="1:6" ht="38.25" x14ac:dyDescent="0.2">
      <c r="A67" s="376"/>
      <c r="B67" s="25" t="s">
        <v>290</v>
      </c>
      <c r="C67" s="25"/>
      <c r="D67" s="25"/>
      <c r="E67" s="25"/>
      <c r="F67" s="242"/>
    </row>
    <row r="68" spans="1:6" x14ac:dyDescent="0.2">
      <c r="A68" s="376"/>
      <c r="B68" s="25"/>
      <c r="C68" s="25"/>
      <c r="D68" s="25"/>
      <c r="E68" s="25"/>
      <c r="F68" s="242"/>
    </row>
    <row r="69" spans="1:6" ht="38.25" x14ac:dyDescent="0.2">
      <c r="A69" s="213" t="s">
        <v>6</v>
      </c>
      <c r="B69" s="82" t="s">
        <v>331</v>
      </c>
      <c r="C69" s="25"/>
      <c r="D69" s="25"/>
      <c r="E69" s="25"/>
      <c r="F69" s="242"/>
    </row>
    <row r="70" spans="1:6" ht="25.5" x14ac:dyDescent="0.2">
      <c r="A70" s="213"/>
      <c r="B70" s="82" t="s">
        <v>786</v>
      </c>
      <c r="C70" s="25"/>
      <c r="D70" s="25"/>
      <c r="E70" s="25"/>
      <c r="F70" s="242"/>
    </row>
    <row r="71" spans="1:6" x14ac:dyDescent="0.2">
      <c r="A71" s="376"/>
      <c r="B71" s="159" t="s">
        <v>40</v>
      </c>
      <c r="C71" s="25"/>
      <c r="D71" s="25"/>
      <c r="E71" s="25"/>
      <c r="F71" s="242"/>
    </row>
    <row r="72" spans="1:6" x14ac:dyDescent="0.2">
      <c r="A72" s="376"/>
      <c r="B72" s="10"/>
      <c r="C72" s="25"/>
      <c r="D72" s="25"/>
      <c r="E72" s="25"/>
      <c r="F72" s="242"/>
    </row>
    <row r="73" spans="1:6" x14ac:dyDescent="0.2">
      <c r="A73" s="376"/>
      <c r="B73" s="82" t="s">
        <v>894</v>
      </c>
      <c r="C73" s="25"/>
      <c r="D73" s="25"/>
      <c r="E73" s="25"/>
      <c r="F73" s="242"/>
    </row>
    <row r="74" spans="1:6" ht="38.25" x14ac:dyDescent="0.2">
      <c r="A74" s="376"/>
      <c r="B74" s="70" t="s">
        <v>813</v>
      </c>
      <c r="C74" s="66" t="s">
        <v>37</v>
      </c>
      <c r="D74" s="65">
        <f>3.65*(5+6.9)+1.8*(4+11.9+11.73+5.6+38.3+3.35+4.9*5+5*4)+1.15*(4.9+5)</f>
        <v>269.70399999999995</v>
      </c>
      <c r="E74" s="20"/>
      <c r="F74" s="214">
        <f>D74*E74</f>
        <v>0</v>
      </c>
    </row>
    <row r="75" spans="1:6" x14ac:dyDescent="0.2">
      <c r="A75" s="376"/>
      <c r="B75" s="70"/>
      <c r="C75" s="66"/>
      <c r="D75" s="65"/>
      <c r="E75" s="20"/>
      <c r="F75" s="214"/>
    </row>
    <row r="76" spans="1:6" x14ac:dyDescent="0.2">
      <c r="A76" s="376"/>
      <c r="B76" s="82" t="s">
        <v>792</v>
      </c>
      <c r="C76" s="66"/>
      <c r="D76" s="65"/>
      <c r="E76" s="20"/>
      <c r="F76" s="214"/>
    </row>
    <row r="77" spans="1:6" x14ac:dyDescent="0.2">
      <c r="A77" s="376"/>
      <c r="B77" s="70" t="s">
        <v>793</v>
      </c>
      <c r="C77" s="66" t="s">
        <v>37</v>
      </c>
      <c r="D77" s="65">
        <f>3.1*42.9+5.07*6.8+4.2*4.9</f>
        <v>188.04600000000002</v>
      </c>
      <c r="E77" s="20"/>
      <c r="F77" s="214">
        <f>D77*E77</f>
        <v>0</v>
      </c>
    </row>
    <row r="78" spans="1:6" x14ac:dyDescent="0.2">
      <c r="A78" s="376"/>
      <c r="B78" s="70"/>
      <c r="C78" s="66"/>
      <c r="D78" s="65"/>
      <c r="E78" s="20"/>
      <c r="F78" s="214"/>
    </row>
    <row r="79" spans="1:6" ht="38.25" x14ac:dyDescent="0.2">
      <c r="A79" s="213" t="s">
        <v>7</v>
      </c>
      <c r="B79" s="82" t="s">
        <v>816</v>
      </c>
      <c r="C79" s="25"/>
      <c r="D79" s="25"/>
      <c r="E79" s="25"/>
      <c r="F79" s="242"/>
    </row>
    <row r="80" spans="1:6" ht="38.25" x14ac:dyDescent="0.2">
      <c r="A80" s="376"/>
      <c r="B80" s="82" t="s">
        <v>332</v>
      </c>
      <c r="C80" s="25"/>
      <c r="D80" s="25"/>
      <c r="E80" s="25"/>
      <c r="F80" s="242"/>
    </row>
    <row r="81" spans="1:6" ht="38.25" x14ac:dyDescent="0.2">
      <c r="A81" s="376"/>
      <c r="B81" s="82" t="s">
        <v>333</v>
      </c>
      <c r="C81" s="25"/>
      <c r="D81" s="25"/>
      <c r="E81" s="25"/>
      <c r="F81" s="242"/>
    </row>
    <row r="82" spans="1:6" ht="25.5" x14ac:dyDescent="0.2">
      <c r="A82" s="376"/>
      <c r="B82" s="82" t="s">
        <v>334</v>
      </c>
      <c r="C82" s="25"/>
      <c r="D82" s="25"/>
      <c r="E82" s="25"/>
      <c r="F82" s="242"/>
    </row>
    <row r="83" spans="1:6" ht="38.25" x14ac:dyDescent="0.2">
      <c r="A83" s="376"/>
      <c r="B83" s="82" t="s">
        <v>335</v>
      </c>
      <c r="C83" s="25"/>
      <c r="D83" s="25"/>
      <c r="E83" s="25"/>
      <c r="F83" s="242"/>
    </row>
    <row r="84" spans="1:6" x14ac:dyDescent="0.2">
      <c r="A84" s="376"/>
      <c r="B84" s="159" t="s">
        <v>40</v>
      </c>
      <c r="C84" s="25"/>
      <c r="D84" s="25"/>
      <c r="E84" s="25"/>
      <c r="F84" s="242"/>
    </row>
    <row r="85" spans="1:6" x14ac:dyDescent="0.2">
      <c r="A85" s="376"/>
      <c r="B85" s="82"/>
      <c r="C85" s="25"/>
      <c r="D85" s="25"/>
      <c r="E85" s="25"/>
      <c r="F85" s="242"/>
    </row>
    <row r="86" spans="1:6" x14ac:dyDescent="0.2">
      <c r="A86" s="376"/>
      <c r="B86" s="387" t="s">
        <v>795</v>
      </c>
      <c r="C86" s="66" t="s">
        <v>37</v>
      </c>
      <c r="D86" s="65">
        <f>4.47*5.37-1.3*1.3</f>
        <v>22.313899999999997</v>
      </c>
      <c r="E86" s="20"/>
      <c r="F86" s="214">
        <f>D86*E86</f>
        <v>0</v>
      </c>
    </row>
    <row r="87" spans="1:6" x14ac:dyDescent="0.2">
      <c r="A87" s="376"/>
      <c r="B87" s="10"/>
      <c r="C87" s="66"/>
      <c r="D87" s="65"/>
      <c r="E87" s="20"/>
      <c r="F87" s="214"/>
    </row>
    <row r="88" spans="1:6" ht="38.25" x14ac:dyDescent="0.2">
      <c r="A88" s="213" t="s">
        <v>212</v>
      </c>
      <c r="B88" s="82" t="s">
        <v>331</v>
      </c>
      <c r="C88" s="25"/>
      <c r="D88" s="25"/>
      <c r="E88" s="25"/>
      <c r="F88" s="242"/>
    </row>
    <row r="89" spans="1:6" ht="26.25" thickBot="1" x14ac:dyDescent="0.25">
      <c r="A89" s="388"/>
      <c r="B89" s="289" t="s">
        <v>763</v>
      </c>
      <c r="C89" s="71"/>
      <c r="D89" s="71"/>
      <c r="E89" s="71"/>
      <c r="F89" s="380"/>
    </row>
    <row r="90" spans="1:6" x14ac:dyDescent="0.2">
      <c r="A90" s="376"/>
      <c r="B90" s="82"/>
      <c r="C90" s="25"/>
      <c r="D90" s="25"/>
      <c r="E90" s="25"/>
      <c r="F90" s="242"/>
    </row>
    <row r="91" spans="1:6" ht="38.25" x14ac:dyDescent="0.2">
      <c r="A91" s="376"/>
      <c r="B91" s="82" t="s">
        <v>333</v>
      </c>
      <c r="C91" s="25"/>
      <c r="D91" s="25"/>
      <c r="E91" s="25"/>
      <c r="F91" s="242"/>
    </row>
    <row r="92" spans="1:6" ht="25.5" x14ac:dyDescent="0.2">
      <c r="A92" s="376"/>
      <c r="B92" s="82" t="s">
        <v>334</v>
      </c>
      <c r="C92" s="25"/>
      <c r="D92" s="25"/>
      <c r="E92" s="25"/>
      <c r="F92" s="242"/>
    </row>
    <row r="93" spans="1:6" ht="38.25" x14ac:dyDescent="0.2">
      <c r="A93" s="376"/>
      <c r="B93" s="82" t="s">
        <v>335</v>
      </c>
      <c r="C93" s="25"/>
      <c r="D93" s="25"/>
      <c r="E93" s="25"/>
      <c r="F93" s="242"/>
    </row>
    <row r="94" spans="1:6" x14ac:dyDescent="0.2">
      <c r="A94" s="376"/>
      <c r="B94" s="159" t="s">
        <v>40</v>
      </c>
      <c r="C94" s="25"/>
      <c r="D94" s="25"/>
      <c r="E94" s="25"/>
      <c r="F94" s="242"/>
    </row>
    <row r="95" spans="1:6" x14ac:dyDescent="0.2">
      <c r="A95" s="376"/>
      <c r="B95" s="159"/>
      <c r="C95" s="25"/>
      <c r="D95" s="25"/>
      <c r="E95" s="25"/>
      <c r="F95" s="242"/>
    </row>
    <row r="96" spans="1:6" x14ac:dyDescent="0.2">
      <c r="A96" s="376"/>
      <c r="B96" s="387" t="s">
        <v>872</v>
      </c>
      <c r="C96" s="66" t="s">
        <v>37</v>
      </c>
      <c r="D96" s="65">
        <f>1.3*1.3*2</f>
        <v>3.3800000000000003</v>
      </c>
      <c r="E96" s="20"/>
      <c r="F96" s="214">
        <f>D96*E96</f>
        <v>0</v>
      </c>
    </row>
    <row r="97" spans="1:6" x14ac:dyDescent="0.2">
      <c r="A97" s="376"/>
      <c r="B97" s="82"/>
      <c r="C97" s="25"/>
      <c r="D97" s="25"/>
      <c r="E97" s="25"/>
      <c r="F97" s="242"/>
    </row>
    <row r="98" spans="1:6" ht="38.25" x14ac:dyDescent="0.2">
      <c r="A98" s="213" t="s">
        <v>132</v>
      </c>
      <c r="B98" s="82" t="s">
        <v>796</v>
      </c>
      <c r="C98" s="25"/>
      <c r="D98" s="25"/>
      <c r="E98" s="25"/>
      <c r="F98" s="242"/>
    </row>
    <row r="99" spans="1:6" ht="25.5" x14ac:dyDescent="0.2">
      <c r="A99" s="376"/>
      <c r="B99" s="82" t="s">
        <v>797</v>
      </c>
      <c r="C99" s="25"/>
      <c r="D99" s="25"/>
      <c r="E99" s="25"/>
      <c r="F99" s="242"/>
    </row>
    <row r="100" spans="1:6" ht="38.25" x14ac:dyDescent="0.2">
      <c r="A100" s="376"/>
      <c r="B100" s="82" t="s">
        <v>333</v>
      </c>
      <c r="C100" s="25"/>
      <c r="D100" s="25"/>
      <c r="E100" s="25"/>
      <c r="F100" s="242"/>
    </row>
    <row r="101" spans="1:6" ht="25.5" x14ac:dyDescent="0.2">
      <c r="A101" s="376"/>
      <c r="B101" s="82" t="s">
        <v>334</v>
      </c>
      <c r="C101" s="25"/>
      <c r="D101" s="25"/>
      <c r="E101" s="25"/>
      <c r="F101" s="242"/>
    </row>
    <row r="102" spans="1:6" ht="25.5" x14ac:dyDescent="0.2">
      <c r="A102" s="376"/>
      <c r="B102" s="82" t="s">
        <v>798</v>
      </c>
      <c r="C102" s="25"/>
      <c r="D102" s="25"/>
      <c r="E102" s="25"/>
      <c r="F102" s="242"/>
    </row>
    <row r="103" spans="1:6" x14ac:dyDescent="0.2">
      <c r="A103" s="376"/>
      <c r="B103" s="159" t="s">
        <v>47</v>
      </c>
      <c r="C103" s="25"/>
      <c r="D103" s="25"/>
      <c r="E103" s="25"/>
      <c r="F103" s="242"/>
    </row>
    <row r="104" spans="1:6" x14ac:dyDescent="0.2">
      <c r="A104" s="376"/>
      <c r="B104" s="10"/>
      <c r="C104" s="25"/>
      <c r="D104" s="25"/>
      <c r="E104" s="25"/>
      <c r="F104" s="242"/>
    </row>
    <row r="105" spans="1:6" x14ac:dyDescent="0.2">
      <c r="A105" s="376"/>
      <c r="B105" s="64" t="s">
        <v>799</v>
      </c>
      <c r="C105" s="66" t="s">
        <v>39</v>
      </c>
      <c r="D105" s="65">
        <f>(0.22+0.35)/2*(10.27+72.7+36.24)</f>
        <v>33.974849999999996</v>
      </c>
      <c r="E105" s="20"/>
      <c r="F105" s="214">
        <f>D105*E105</f>
        <v>0</v>
      </c>
    </row>
    <row r="106" spans="1:6" x14ac:dyDescent="0.2">
      <c r="A106" s="376"/>
      <c r="B106" s="82"/>
      <c r="C106" s="25"/>
      <c r="D106" s="25"/>
      <c r="E106" s="25"/>
      <c r="F106" s="242"/>
    </row>
    <row r="107" spans="1:6" ht="51" x14ac:dyDescent="0.2">
      <c r="A107" s="213" t="s">
        <v>133</v>
      </c>
      <c r="B107" s="25" t="s">
        <v>312</v>
      </c>
      <c r="C107" s="25"/>
      <c r="D107" s="25"/>
      <c r="E107" s="25"/>
      <c r="F107" s="242"/>
    </row>
    <row r="108" spans="1:6" x14ac:dyDescent="0.2">
      <c r="A108" s="213"/>
      <c r="B108" s="82" t="s">
        <v>336</v>
      </c>
      <c r="C108" s="25"/>
      <c r="D108" s="25"/>
      <c r="E108" s="25"/>
      <c r="F108" s="242"/>
    </row>
    <row r="109" spans="1:6" ht="25.5" x14ac:dyDescent="0.2">
      <c r="A109" s="376"/>
      <c r="B109" s="389" t="s">
        <v>286</v>
      </c>
      <c r="C109" s="100"/>
      <c r="D109" s="26"/>
      <c r="E109" s="25"/>
      <c r="F109" s="242"/>
    </row>
    <row r="110" spans="1:6" x14ac:dyDescent="0.2">
      <c r="A110" s="376"/>
      <c r="B110" s="125" t="s">
        <v>313</v>
      </c>
      <c r="C110" s="25"/>
      <c r="D110" s="25"/>
      <c r="E110" s="25"/>
      <c r="F110" s="242"/>
    </row>
    <row r="111" spans="1:6" x14ac:dyDescent="0.2">
      <c r="A111" s="376"/>
      <c r="B111" s="125"/>
      <c r="C111" s="25"/>
      <c r="D111" s="25"/>
      <c r="E111" s="25"/>
      <c r="F111" s="242"/>
    </row>
    <row r="112" spans="1:6" x14ac:dyDescent="0.2">
      <c r="A112" s="216"/>
      <c r="B112" s="25" t="s">
        <v>896</v>
      </c>
      <c r="C112" s="25"/>
      <c r="D112" s="25"/>
      <c r="E112" s="25"/>
      <c r="F112" s="242"/>
    </row>
    <row r="113" spans="1:6" ht="38.25" x14ac:dyDescent="0.2">
      <c r="A113" s="376"/>
      <c r="B113" s="70" t="s">
        <v>812</v>
      </c>
      <c r="C113" s="66" t="s">
        <v>39</v>
      </c>
      <c r="D113" s="65">
        <f>0.4*3.65*(5+6.9)+0.4*1.8*(4+11.9+11.73+5.6+38.3+3.35+4.9*5+5*4)+0.4*1.15*(4.9+5)</f>
        <v>107.88160000000001</v>
      </c>
      <c r="E113" s="20"/>
      <c r="F113" s="214">
        <f>D113*E113</f>
        <v>0</v>
      </c>
    </row>
    <row r="114" spans="1:6" x14ac:dyDescent="0.2">
      <c r="A114" s="376"/>
      <c r="B114" s="82"/>
      <c r="C114" s="25"/>
      <c r="D114" s="25"/>
      <c r="E114" s="25"/>
      <c r="F114" s="242"/>
    </row>
    <row r="115" spans="1:6" ht="25.5" x14ac:dyDescent="0.2">
      <c r="A115" s="376"/>
      <c r="B115" s="25" t="s">
        <v>895</v>
      </c>
      <c r="C115" s="25"/>
      <c r="D115" s="25"/>
      <c r="E115" s="25"/>
      <c r="F115" s="242"/>
    </row>
    <row r="116" spans="1:6" x14ac:dyDescent="0.2">
      <c r="A116" s="376"/>
      <c r="B116" s="70" t="s">
        <v>794</v>
      </c>
      <c r="C116" s="66" t="s">
        <v>39</v>
      </c>
      <c r="D116" s="65">
        <f>0.4*(3.1*42.9+5.07*6.8)</f>
        <v>66.986400000000003</v>
      </c>
      <c r="E116" s="20"/>
      <c r="F116" s="214">
        <f>D116*E116</f>
        <v>0</v>
      </c>
    </row>
    <row r="117" spans="1:6" x14ac:dyDescent="0.2">
      <c r="A117" s="376"/>
      <c r="B117" s="82"/>
      <c r="C117" s="25"/>
      <c r="D117" s="25"/>
      <c r="E117" s="25"/>
      <c r="F117" s="242"/>
    </row>
    <row r="118" spans="1:6" ht="63.75" x14ac:dyDescent="0.2">
      <c r="A118" s="213" t="s">
        <v>84</v>
      </c>
      <c r="B118" s="25" t="s">
        <v>314</v>
      </c>
      <c r="C118" s="25"/>
      <c r="D118" s="25"/>
      <c r="E118" s="25"/>
      <c r="F118" s="242"/>
    </row>
    <row r="119" spans="1:6" ht="13.5" thickBot="1" x14ac:dyDescent="0.25">
      <c r="A119" s="382"/>
      <c r="B119" s="289" t="s">
        <v>336</v>
      </c>
      <c r="C119" s="71"/>
      <c r="D119" s="71"/>
      <c r="E119" s="71"/>
      <c r="F119" s="380"/>
    </row>
    <row r="120" spans="1:6" x14ac:dyDescent="0.2">
      <c r="A120" s="213"/>
      <c r="B120" s="82"/>
      <c r="C120" s="25"/>
      <c r="D120" s="25"/>
      <c r="E120" s="25"/>
      <c r="F120" s="242"/>
    </row>
    <row r="121" spans="1:6" ht="25.5" x14ac:dyDescent="0.2">
      <c r="A121" s="376"/>
      <c r="B121" s="389" t="s">
        <v>286</v>
      </c>
      <c r="C121" s="100"/>
      <c r="D121" s="26"/>
      <c r="E121" s="25"/>
      <c r="F121" s="242"/>
    </row>
    <row r="122" spans="1:6" ht="25.5" x14ac:dyDescent="0.2">
      <c r="A122" s="376"/>
      <c r="B122" s="125" t="s">
        <v>291</v>
      </c>
      <c r="C122" s="25"/>
      <c r="D122" s="25"/>
      <c r="E122" s="25"/>
      <c r="F122" s="242"/>
    </row>
    <row r="123" spans="1:6" x14ac:dyDescent="0.2">
      <c r="A123" s="216"/>
      <c r="B123" s="25"/>
      <c r="C123" s="25"/>
      <c r="D123" s="25"/>
      <c r="E123" s="25"/>
      <c r="F123" s="242"/>
    </row>
    <row r="124" spans="1:6" ht="51" x14ac:dyDescent="0.2">
      <c r="A124" s="376"/>
      <c r="B124" s="26" t="s">
        <v>1349</v>
      </c>
      <c r="C124" s="66" t="s">
        <v>39</v>
      </c>
      <c r="D124" s="64">
        <f>0.25*2.12*(1.95*2+3.75*4+3.95*6+0.85)+0.25*1.52*(20.12+11.15+40.7+2.52*5+2.32*6)+0.25*1.37*(2.52+3.73)+0.25*(0.4*1.65*2+0.29*1.29)+0.25*1.4*1.83</f>
        <v>63.659350000000003</v>
      </c>
      <c r="E124" s="20"/>
      <c r="F124" s="214">
        <f>D124*E124</f>
        <v>0</v>
      </c>
    </row>
    <row r="125" spans="1:6" x14ac:dyDescent="0.2">
      <c r="A125" s="376"/>
      <c r="B125" s="82"/>
      <c r="C125" s="25"/>
      <c r="D125" s="25"/>
      <c r="E125" s="25"/>
      <c r="F125" s="242"/>
    </row>
    <row r="126" spans="1:6" ht="63.75" x14ac:dyDescent="0.2">
      <c r="A126" s="213" t="s">
        <v>134</v>
      </c>
      <c r="B126" s="25" t="s">
        <v>315</v>
      </c>
      <c r="C126" s="25"/>
      <c r="D126" s="25"/>
      <c r="E126" s="25"/>
      <c r="F126" s="242"/>
    </row>
    <row r="127" spans="1:6" x14ac:dyDescent="0.2">
      <c r="A127" s="213"/>
      <c r="B127" s="82" t="s">
        <v>336</v>
      </c>
      <c r="C127" s="25"/>
      <c r="D127" s="25"/>
      <c r="E127" s="25"/>
      <c r="F127" s="242"/>
    </row>
    <row r="128" spans="1:6" ht="25.5" x14ac:dyDescent="0.2">
      <c r="A128" s="376"/>
      <c r="B128" s="389" t="s">
        <v>286</v>
      </c>
      <c r="C128" s="100"/>
      <c r="D128" s="26"/>
      <c r="E128" s="25"/>
      <c r="F128" s="242"/>
    </row>
    <row r="129" spans="1:6" ht="25.5" x14ac:dyDescent="0.2">
      <c r="A129" s="376"/>
      <c r="B129" s="125" t="s">
        <v>291</v>
      </c>
      <c r="C129" s="25"/>
      <c r="D129" s="25"/>
      <c r="E129" s="25"/>
      <c r="F129" s="242"/>
    </row>
    <row r="130" spans="1:6" x14ac:dyDescent="0.2">
      <c r="A130" s="216"/>
      <c r="B130" s="25"/>
      <c r="C130" s="25"/>
      <c r="D130" s="25"/>
      <c r="E130" s="25"/>
      <c r="F130" s="242"/>
    </row>
    <row r="131" spans="1:6" ht="51" x14ac:dyDescent="0.2">
      <c r="A131" s="376"/>
      <c r="B131" s="26" t="s">
        <v>802</v>
      </c>
      <c r="C131" s="66" t="s">
        <v>39</v>
      </c>
      <c r="D131" s="65">
        <f>0.2*(2.12*(8.37+14.75+3.01+9.42+5.57+4.01+41.1+1.95+3.95*4+2.32*2)+1.52*(2.5*2+2.37*2+3.95*2+3.75*2+4.42+1.49)+1.33*(4.47+5.36))</f>
        <v>58.108859999999993</v>
      </c>
      <c r="E131" s="20"/>
      <c r="F131" s="214">
        <f>D131*E131</f>
        <v>0</v>
      </c>
    </row>
    <row r="132" spans="1:6" x14ac:dyDescent="0.2">
      <c r="A132" s="376"/>
      <c r="B132" s="82"/>
      <c r="C132" s="25"/>
      <c r="D132" s="25"/>
      <c r="E132" s="25"/>
      <c r="F132" s="242"/>
    </row>
    <row r="133" spans="1:6" ht="63.75" x14ac:dyDescent="0.2">
      <c r="A133" s="213" t="s">
        <v>135</v>
      </c>
      <c r="B133" s="25" t="s">
        <v>316</v>
      </c>
      <c r="C133" s="25"/>
      <c r="D133" s="25"/>
      <c r="E133" s="25"/>
      <c r="F133" s="242"/>
    </row>
    <row r="134" spans="1:6" ht="25.5" x14ac:dyDescent="0.2">
      <c r="A134" s="376"/>
      <c r="B134" s="389" t="s">
        <v>286</v>
      </c>
      <c r="C134" s="100"/>
      <c r="D134" s="26"/>
      <c r="E134" s="25"/>
      <c r="F134" s="242"/>
    </row>
    <row r="135" spans="1:6" ht="25.5" x14ac:dyDescent="0.2">
      <c r="A135" s="376"/>
      <c r="B135" s="125" t="s">
        <v>291</v>
      </c>
      <c r="C135" s="25"/>
      <c r="D135" s="25"/>
      <c r="E135" s="25"/>
      <c r="F135" s="242"/>
    </row>
    <row r="136" spans="1:6" x14ac:dyDescent="0.2">
      <c r="A136" s="216"/>
      <c r="B136" s="25"/>
      <c r="C136" s="25"/>
      <c r="D136" s="25"/>
      <c r="E136" s="25"/>
      <c r="F136" s="242"/>
    </row>
    <row r="137" spans="1:6" x14ac:dyDescent="0.2">
      <c r="A137" s="376"/>
      <c r="B137" s="26" t="s">
        <v>803</v>
      </c>
      <c r="C137" s="66" t="s">
        <v>39</v>
      </c>
      <c r="D137" s="65">
        <f>0.16*2.12*(2.6*2+2.51+0.45)</f>
        <v>2.7678720000000001</v>
      </c>
      <c r="E137" s="20"/>
      <c r="F137" s="214">
        <f>D137*E137</f>
        <v>0</v>
      </c>
    </row>
    <row r="138" spans="1:6" x14ac:dyDescent="0.2">
      <c r="A138" s="376"/>
      <c r="B138" s="25"/>
      <c r="C138" s="25"/>
      <c r="D138" s="65"/>
      <c r="E138" s="25"/>
      <c r="F138" s="242"/>
    </row>
    <row r="139" spans="1:6" ht="63.75" x14ac:dyDescent="0.2">
      <c r="A139" s="213" t="s">
        <v>72</v>
      </c>
      <c r="B139" s="25" t="s">
        <v>318</v>
      </c>
      <c r="C139" s="25"/>
      <c r="D139" s="25"/>
      <c r="E139" s="25"/>
      <c r="F139" s="242"/>
    </row>
    <row r="140" spans="1:6" ht="25.5" x14ac:dyDescent="0.2">
      <c r="A140" s="376"/>
      <c r="B140" s="389" t="s">
        <v>286</v>
      </c>
      <c r="C140" s="100"/>
      <c r="D140" s="26"/>
      <c r="E140" s="25"/>
      <c r="F140" s="242"/>
    </row>
    <row r="141" spans="1:6" ht="25.5" x14ac:dyDescent="0.2">
      <c r="A141" s="376"/>
      <c r="B141" s="30" t="s">
        <v>317</v>
      </c>
      <c r="C141" s="25"/>
      <c r="D141" s="25"/>
      <c r="E141" s="25"/>
      <c r="F141" s="242"/>
    </row>
    <row r="142" spans="1:6" x14ac:dyDescent="0.2">
      <c r="A142" s="216"/>
      <c r="B142" s="30"/>
      <c r="C142" s="25"/>
      <c r="D142" s="25"/>
      <c r="E142" s="25"/>
      <c r="F142" s="242"/>
    </row>
    <row r="143" spans="1:6" x14ac:dyDescent="0.2">
      <c r="A143" s="216"/>
      <c r="B143" s="30" t="s">
        <v>897</v>
      </c>
      <c r="C143" s="25"/>
      <c r="D143" s="25"/>
      <c r="E143" s="25"/>
      <c r="F143" s="242"/>
    </row>
    <row r="144" spans="1:6" ht="26.25" thickBot="1" x14ac:dyDescent="0.25">
      <c r="A144" s="388"/>
      <c r="B144" s="285" t="s">
        <v>804</v>
      </c>
      <c r="C144" s="290" t="s">
        <v>39</v>
      </c>
      <c r="D144" s="288">
        <f>0.16*(15.87*(2.6*2+2.11)+0.45*2*3.04*5)-0.16*1.18*2.4*5</f>
        <v>18.484752</v>
      </c>
      <c r="E144" s="291"/>
      <c r="F144" s="383">
        <f>D144*E144</f>
        <v>0</v>
      </c>
    </row>
    <row r="145" spans="1:6" x14ac:dyDescent="0.2">
      <c r="A145" s="376"/>
      <c r="B145" s="25"/>
      <c r="C145" s="25"/>
      <c r="D145" s="65"/>
      <c r="E145" s="25"/>
      <c r="F145" s="242"/>
    </row>
    <row r="146" spans="1:6" ht="63.75" x14ac:dyDescent="0.2">
      <c r="A146" s="213" t="s">
        <v>73</v>
      </c>
      <c r="B146" s="25" t="s">
        <v>292</v>
      </c>
      <c r="C146" s="25"/>
      <c r="D146" s="25"/>
      <c r="E146" s="25"/>
      <c r="F146" s="242"/>
    </row>
    <row r="147" spans="1:6" ht="25.5" x14ac:dyDescent="0.2">
      <c r="A147" s="376"/>
      <c r="B147" s="389" t="s">
        <v>286</v>
      </c>
      <c r="C147" s="100"/>
      <c r="D147" s="26"/>
      <c r="E147" s="25"/>
      <c r="F147" s="242"/>
    </row>
    <row r="148" spans="1:6" ht="25.5" x14ac:dyDescent="0.2">
      <c r="A148" s="376"/>
      <c r="B148" s="125" t="s">
        <v>293</v>
      </c>
      <c r="C148" s="25"/>
      <c r="D148" s="25"/>
      <c r="E148" s="25"/>
      <c r="F148" s="242"/>
    </row>
    <row r="149" spans="1:6" x14ac:dyDescent="0.2">
      <c r="A149" s="216"/>
      <c r="B149" s="25"/>
      <c r="C149" s="25"/>
      <c r="D149" s="25"/>
      <c r="E149" s="25"/>
      <c r="F149" s="242"/>
    </row>
    <row r="150" spans="1:6" x14ac:dyDescent="0.2">
      <c r="A150" s="216"/>
      <c r="B150" s="25" t="s">
        <v>26</v>
      </c>
      <c r="C150" s="25"/>
      <c r="D150" s="25"/>
      <c r="E150" s="25"/>
      <c r="F150" s="242"/>
    </row>
    <row r="151" spans="1:6" ht="63.75" x14ac:dyDescent="0.2">
      <c r="A151" s="216"/>
      <c r="B151" s="26" t="s">
        <v>901</v>
      </c>
      <c r="C151" s="25"/>
      <c r="D151" s="64">
        <f>0.2*2.77*(4.62*2+4.92*2+2.68+2.89+3.41+2.72+9.05+2.72+1.43+6.72+6.52+6.47)-0.2*(1*1.6*8+0.92*2.4+1.8*1.6+1.5*2.4)</f>
        <v>30.986660000000004</v>
      </c>
      <c r="E151" s="25"/>
      <c r="F151" s="242"/>
    </row>
    <row r="152" spans="1:6" x14ac:dyDescent="0.2">
      <c r="A152" s="216"/>
      <c r="B152" s="25"/>
      <c r="C152" s="25"/>
      <c r="D152" s="25"/>
      <c r="E152" s="25"/>
      <c r="F152" s="242"/>
    </row>
    <row r="153" spans="1:6" x14ac:dyDescent="0.2">
      <c r="A153" s="216"/>
      <c r="B153" s="25" t="s">
        <v>898</v>
      </c>
      <c r="C153" s="25"/>
      <c r="D153" s="25"/>
      <c r="E153" s="25"/>
      <c r="F153" s="242"/>
    </row>
    <row r="154" spans="1:6" ht="38.25" x14ac:dyDescent="0.2">
      <c r="A154" s="216"/>
      <c r="B154" s="26" t="s">
        <v>902</v>
      </c>
      <c r="C154" s="25"/>
      <c r="D154" s="64">
        <f>0.2*2.77*(4.62*2+4.92*2+2.68+2.89+3.41+2.72+9.05+2.72+1.43+6.72+6.52+6.47)-0.2*(1*1.6*9+0.92*2.4+1.8*1.6)</f>
        <v>31.386660000000003</v>
      </c>
      <c r="E154" s="25"/>
      <c r="F154" s="242"/>
    </row>
    <row r="155" spans="1:6" x14ac:dyDescent="0.2">
      <c r="A155" s="216"/>
      <c r="B155" s="25"/>
      <c r="C155" s="25"/>
      <c r="D155" s="25"/>
      <c r="E155" s="25"/>
      <c r="F155" s="242"/>
    </row>
    <row r="156" spans="1:6" x14ac:dyDescent="0.2">
      <c r="A156" s="216"/>
      <c r="B156" s="25" t="s">
        <v>899</v>
      </c>
      <c r="C156" s="25"/>
      <c r="D156" s="25"/>
      <c r="E156" s="25"/>
      <c r="F156" s="242"/>
    </row>
    <row r="157" spans="1:6" ht="38.25" x14ac:dyDescent="0.2">
      <c r="A157" s="216"/>
      <c r="B157" s="26" t="s">
        <v>903</v>
      </c>
      <c r="C157" s="25"/>
      <c r="D157" s="64">
        <f>2*0.2*2.77*(4.62*2+4.92*2+2.68+2.89+3.41+2.72+9.05+2.72+1.43+6.72+6.52+6.47)-2*0.2*(1*1.6*9+0.92*2.4+1.8*1.6)</f>
        <v>62.773320000000005</v>
      </c>
      <c r="E157" s="25"/>
      <c r="F157" s="242"/>
    </row>
    <row r="158" spans="1:6" x14ac:dyDescent="0.2">
      <c r="A158" s="216"/>
      <c r="B158" s="25"/>
      <c r="C158" s="25"/>
      <c r="D158" s="25"/>
      <c r="E158" s="25"/>
      <c r="F158" s="242"/>
    </row>
    <row r="159" spans="1:6" x14ac:dyDescent="0.2">
      <c r="A159" s="216"/>
      <c r="B159" s="25" t="s">
        <v>900</v>
      </c>
      <c r="C159" s="25"/>
      <c r="D159" s="25"/>
      <c r="E159" s="25"/>
      <c r="F159" s="242"/>
    </row>
    <row r="160" spans="1:6" ht="51" x14ac:dyDescent="0.2">
      <c r="A160" s="216"/>
      <c r="B160" s="26" t="s">
        <v>904</v>
      </c>
      <c r="C160" s="25"/>
      <c r="D160" s="64">
        <f>0.2*(1.99*(3.92+2.4+2.72+1.42+2.72+3.41+2.92+2.62)+(1.99+2.77)/2*(6.72+6.52+6.47)+2.08*12.37/2*2-(1*1*6+1*1.6*4))</f>
        <v>20.855620000000002</v>
      </c>
      <c r="E160" s="25"/>
      <c r="F160" s="242"/>
    </row>
    <row r="161" spans="1:7" x14ac:dyDescent="0.2">
      <c r="A161" s="216"/>
      <c r="B161" s="25"/>
      <c r="C161" s="25"/>
      <c r="D161" s="25"/>
      <c r="E161" s="25"/>
      <c r="F161" s="242"/>
    </row>
    <row r="162" spans="1:7" x14ac:dyDescent="0.2">
      <c r="A162" s="376"/>
      <c r="B162" s="26" t="s">
        <v>905</v>
      </c>
      <c r="C162" s="66" t="s">
        <v>39</v>
      </c>
      <c r="D162" s="65">
        <f>SUM(D151:D161)</f>
        <v>146.00226000000004</v>
      </c>
      <c r="E162" s="20"/>
      <c r="F162" s="214">
        <f>D162*E162</f>
        <v>0</v>
      </c>
    </row>
    <row r="163" spans="1:7" x14ac:dyDescent="0.2">
      <c r="A163" s="376"/>
      <c r="B163" s="25"/>
      <c r="C163" s="25"/>
      <c r="D163" s="65"/>
      <c r="E163" s="25"/>
      <c r="F163" s="242"/>
    </row>
    <row r="164" spans="1:7" ht="63.75" x14ac:dyDescent="0.2">
      <c r="A164" s="213" t="s">
        <v>158</v>
      </c>
      <c r="B164" s="25" t="s">
        <v>319</v>
      </c>
      <c r="C164" s="25"/>
      <c r="D164" s="25"/>
      <c r="E164" s="25"/>
      <c r="F164" s="242"/>
      <c r="G164" s="173"/>
    </row>
    <row r="165" spans="1:7" ht="25.5" x14ac:dyDescent="0.2">
      <c r="A165" s="376"/>
      <c r="B165" s="389" t="s">
        <v>286</v>
      </c>
      <c r="C165" s="100"/>
      <c r="D165" s="26"/>
      <c r="E165" s="25"/>
      <c r="F165" s="242"/>
    </row>
    <row r="166" spans="1:7" ht="25.5" x14ac:dyDescent="0.2">
      <c r="A166" s="376"/>
      <c r="B166" s="125" t="s">
        <v>293</v>
      </c>
      <c r="C166" s="25"/>
      <c r="D166" s="25"/>
      <c r="E166" s="25"/>
      <c r="F166" s="242"/>
    </row>
    <row r="167" spans="1:7" x14ac:dyDescent="0.2">
      <c r="A167" s="216"/>
      <c r="B167" s="25"/>
      <c r="C167" s="25"/>
      <c r="D167" s="25"/>
      <c r="E167" s="25"/>
      <c r="F167" s="242"/>
    </row>
    <row r="168" spans="1:7" x14ac:dyDescent="0.2">
      <c r="A168" s="216"/>
      <c r="B168" s="25" t="s">
        <v>26</v>
      </c>
      <c r="C168" s="25"/>
      <c r="D168" s="25"/>
      <c r="E168" s="25"/>
      <c r="F168" s="242"/>
    </row>
    <row r="169" spans="1:7" ht="39" thickBot="1" x14ac:dyDescent="0.25">
      <c r="A169" s="390"/>
      <c r="B169" s="285" t="s">
        <v>1351</v>
      </c>
      <c r="C169" s="71"/>
      <c r="D169" s="292">
        <f>0.25*(2.77*(2.65+2.3+3.37+3.07+5+3.85+1.5+2+2.52+3)-(0.8*2.05+0.9*2.05))</f>
        <v>19.391300000000001</v>
      </c>
      <c r="E169" s="71"/>
      <c r="F169" s="380"/>
    </row>
    <row r="170" spans="1:7" x14ac:dyDescent="0.2">
      <c r="A170" s="216"/>
      <c r="B170" s="25"/>
      <c r="C170" s="25"/>
      <c r="D170" s="65"/>
      <c r="E170" s="25"/>
      <c r="F170" s="242"/>
    </row>
    <row r="171" spans="1:7" x14ac:dyDescent="0.2">
      <c r="A171" s="216"/>
      <c r="B171" s="25" t="s">
        <v>898</v>
      </c>
      <c r="C171" s="25"/>
      <c r="D171" s="65"/>
      <c r="E171" s="25"/>
      <c r="F171" s="242"/>
    </row>
    <row r="172" spans="1:7" ht="38.25" x14ac:dyDescent="0.2">
      <c r="A172" s="216"/>
      <c r="B172" s="26" t="s">
        <v>1350</v>
      </c>
      <c r="C172" s="25"/>
      <c r="D172" s="64">
        <f>0.25*(2.77*(2.65+2.3+3.37+3.07+5+3.85+1.5+2+2.52+3*2)-(0.8*2.05+0.9*2.05))</f>
        <v>21.468800000000005</v>
      </c>
      <c r="E172" s="25"/>
      <c r="F172" s="242"/>
    </row>
    <row r="173" spans="1:7" x14ac:dyDescent="0.2">
      <c r="A173" s="216"/>
      <c r="B173" s="25"/>
      <c r="C173" s="25"/>
      <c r="D173" s="65"/>
      <c r="E173" s="25"/>
      <c r="F173" s="242"/>
    </row>
    <row r="174" spans="1:7" x14ac:dyDescent="0.2">
      <c r="A174" s="216"/>
      <c r="B174" s="25" t="s">
        <v>899</v>
      </c>
      <c r="C174" s="25"/>
      <c r="D174" s="65"/>
      <c r="E174" s="25"/>
      <c r="F174" s="242"/>
    </row>
    <row r="175" spans="1:7" ht="38.25" x14ac:dyDescent="0.2">
      <c r="A175" s="216"/>
      <c r="B175" s="26" t="s">
        <v>1350</v>
      </c>
      <c r="C175" s="25"/>
      <c r="D175" s="64">
        <f>2*0.25*(2.77*(2.65+2.3+3.37+3.07+5+3.85+1.5+2+2.52)-2*(0.8*2.05+0.9*2.05))</f>
        <v>32.885100000000001</v>
      </c>
      <c r="E175" s="25"/>
      <c r="F175" s="242"/>
    </row>
    <row r="176" spans="1:7" x14ac:dyDescent="0.2">
      <c r="A176" s="216"/>
      <c r="B176" s="25"/>
      <c r="C176" s="25"/>
      <c r="D176" s="65"/>
      <c r="E176" s="25"/>
      <c r="F176" s="242"/>
    </row>
    <row r="177" spans="1:6" x14ac:dyDescent="0.2">
      <c r="A177" s="216"/>
      <c r="B177" s="25" t="s">
        <v>900</v>
      </c>
      <c r="C177" s="25"/>
      <c r="D177" s="65"/>
      <c r="E177" s="25"/>
      <c r="F177" s="242"/>
    </row>
    <row r="178" spans="1:6" ht="38.25" x14ac:dyDescent="0.2">
      <c r="A178" s="216"/>
      <c r="B178" s="26" t="s">
        <v>906</v>
      </c>
      <c r="C178" s="25"/>
      <c r="D178" s="64">
        <f>0.25*(2.77*(5+3.37+3.37+3.85+1.5+2.65+1.9+2.55)+(1.99+2.55)/2*(2.3+2*2)-(0.8*2.05+0.9*2.05))</f>
        <v>19.455575000000003</v>
      </c>
      <c r="E178" s="25"/>
      <c r="F178" s="242"/>
    </row>
    <row r="179" spans="1:6" x14ac:dyDescent="0.2">
      <c r="A179" s="216"/>
      <c r="B179" s="25"/>
      <c r="C179" s="25"/>
      <c r="D179" s="25"/>
      <c r="E179" s="25"/>
      <c r="F179" s="242"/>
    </row>
    <row r="180" spans="1:6" x14ac:dyDescent="0.2">
      <c r="A180" s="376"/>
      <c r="B180" s="26" t="s">
        <v>907</v>
      </c>
      <c r="C180" s="66" t="s">
        <v>39</v>
      </c>
      <c r="D180" s="65">
        <f>SUM(D166:D179)</f>
        <v>93.200775000000021</v>
      </c>
      <c r="E180" s="20"/>
      <c r="F180" s="214">
        <f>D180*E180</f>
        <v>0</v>
      </c>
    </row>
    <row r="181" spans="1:6" x14ac:dyDescent="0.2">
      <c r="A181" s="376"/>
      <c r="B181" s="26"/>
      <c r="C181" s="66"/>
      <c r="D181" s="64"/>
      <c r="E181" s="20"/>
      <c r="F181" s="214"/>
    </row>
    <row r="182" spans="1:6" ht="51" customHeight="1" x14ac:dyDescent="0.2">
      <c r="A182" s="213" t="s">
        <v>179</v>
      </c>
      <c r="B182" s="30" t="s">
        <v>299</v>
      </c>
      <c r="C182" s="25"/>
      <c r="D182" s="25"/>
      <c r="E182" s="25"/>
      <c r="F182" s="242"/>
    </row>
    <row r="183" spans="1:6" ht="25.5" x14ac:dyDescent="0.2">
      <c r="A183" s="376"/>
      <c r="B183" s="381" t="s">
        <v>286</v>
      </c>
      <c r="C183" s="25"/>
      <c r="D183" s="25"/>
      <c r="E183" s="25"/>
      <c r="F183" s="242"/>
    </row>
    <row r="184" spans="1:6" ht="25.5" x14ac:dyDescent="0.2">
      <c r="A184" s="376"/>
      <c r="B184" s="381" t="s">
        <v>259</v>
      </c>
      <c r="C184" s="25"/>
      <c r="D184" s="25"/>
      <c r="E184" s="25"/>
      <c r="F184" s="242"/>
    </row>
    <row r="185" spans="1:6" s="82" customFormat="1" x14ac:dyDescent="0.2">
      <c r="A185" s="376"/>
      <c r="B185" s="25"/>
      <c r="C185" s="25"/>
      <c r="D185" s="25"/>
      <c r="E185" s="25"/>
      <c r="F185" s="242"/>
    </row>
    <row r="186" spans="1:6" x14ac:dyDescent="0.2">
      <c r="A186" s="391"/>
      <c r="B186" s="25" t="s">
        <v>297</v>
      </c>
      <c r="C186" s="25"/>
      <c r="D186" s="25"/>
      <c r="E186" s="25"/>
      <c r="F186" s="242"/>
    </row>
    <row r="187" spans="1:6" x14ac:dyDescent="0.2">
      <c r="A187" s="391"/>
      <c r="B187" s="25" t="s">
        <v>908</v>
      </c>
      <c r="C187" s="25"/>
      <c r="D187" s="25"/>
      <c r="E187" s="25"/>
      <c r="F187" s="242"/>
    </row>
    <row r="188" spans="1:6" x14ac:dyDescent="0.2">
      <c r="A188" s="376"/>
      <c r="B188" s="26" t="s">
        <v>1352</v>
      </c>
      <c r="C188" s="27"/>
      <c r="D188" s="64">
        <v>31.245600000000003</v>
      </c>
      <c r="E188" s="30"/>
      <c r="F188" s="214"/>
    </row>
    <row r="189" spans="1:6" x14ac:dyDescent="0.2">
      <c r="A189" s="376"/>
      <c r="B189" s="26"/>
      <c r="C189" s="27"/>
      <c r="D189" s="26"/>
      <c r="E189" s="30"/>
      <c r="F189" s="214"/>
    </row>
    <row r="190" spans="1:6" x14ac:dyDescent="0.2">
      <c r="A190" s="376"/>
      <c r="B190" s="26" t="s">
        <v>909</v>
      </c>
      <c r="C190" s="27"/>
      <c r="D190" s="26"/>
      <c r="E190" s="30"/>
      <c r="F190" s="214"/>
    </row>
    <row r="191" spans="1:6" ht="38.25" x14ac:dyDescent="0.2">
      <c r="A191" s="376"/>
      <c r="B191" s="26" t="s">
        <v>1358</v>
      </c>
      <c r="C191" s="27"/>
      <c r="D191" s="64">
        <f>1.9*(0.2*0.8*2+0.2*0.9*0.25*0.3*3+0.25*0.5*5)+2.77*0.25*0.5*6+2.5*0.25*0.5+2.77*0.25*0.2*12</f>
        <v>5.9244500000000002</v>
      </c>
      <c r="E191" s="30"/>
      <c r="F191" s="214"/>
    </row>
    <row r="192" spans="1:6" x14ac:dyDescent="0.2">
      <c r="A192" s="376"/>
      <c r="B192" s="26"/>
      <c r="C192" s="27"/>
      <c r="D192" s="65"/>
      <c r="E192" s="30"/>
      <c r="F192" s="214"/>
    </row>
    <row r="193" spans="1:6" x14ac:dyDescent="0.2">
      <c r="A193" s="376"/>
      <c r="B193" s="26" t="s">
        <v>1357</v>
      </c>
      <c r="C193" s="27"/>
      <c r="D193" s="64"/>
      <c r="E193" s="30"/>
      <c r="F193" s="214"/>
    </row>
    <row r="194" spans="1:6" x14ac:dyDescent="0.2">
      <c r="A194" s="376"/>
      <c r="B194" s="25" t="s">
        <v>897</v>
      </c>
      <c r="C194" s="27"/>
      <c r="D194" s="64"/>
      <c r="E194" s="30"/>
      <c r="F194" s="214"/>
    </row>
    <row r="195" spans="1:6" ht="25.5" x14ac:dyDescent="0.2">
      <c r="A195" s="376"/>
      <c r="B195" s="31" t="s">
        <v>1353</v>
      </c>
      <c r="C195" s="25"/>
      <c r="D195" s="24">
        <f>4*(2.77*0.2*0.2*4+0.25*0.2*2.05*2*9)+0.2*0.2*2.7*8+0.25*0.2*2.05*6*2</f>
        <v>11.2468</v>
      </c>
      <c r="E195" s="30"/>
      <c r="F195" s="214"/>
    </row>
    <row r="196" spans="1:6" x14ac:dyDescent="0.2">
      <c r="A196" s="376"/>
      <c r="B196" s="30"/>
      <c r="C196" s="25"/>
      <c r="D196" s="20"/>
      <c r="E196" s="30"/>
      <c r="F196" s="214"/>
    </row>
    <row r="197" spans="1:6" x14ac:dyDescent="0.2">
      <c r="A197" s="376"/>
      <c r="B197" s="26" t="s">
        <v>1455</v>
      </c>
      <c r="C197" s="27" t="s">
        <v>39</v>
      </c>
      <c r="D197" s="65">
        <f>SUM(D188:D196)</f>
        <v>48.416850000000004</v>
      </c>
      <c r="E197" s="30"/>
      <c r="F197" s="214">
        <f>D197*E197</f>
        <v>0</v>
      </c>
    </row>
    <row r="198" spans="1:6" x14ac:dyDescent="0.2">
      <c r="A198" s="376"/>
      <c r="B198" s="25"/>
      <c r="C198" s="27"/>
      <c r="D198" s="65"/>
      <c r="E198" s="30"/>
      <c r="F198" s="214"/>
    </row>
    <row r="199" spans="1:6" ht="51" x14ac:dyDescent="0.2">
      <c r="A199" s="213" t="s">
        <v>273</v>
      </c>
      <c r="B199" s="30" t="s">
        <v>307</v>
      </c>
      <c r="C199" s="25"/>
      <c r="D199" s="25"/>
      <c r="E199" s="25"/>
      <c r="F199" s="242"/>
    </row>
    <row r="200" spans="1:6" ht="25.5" x14ac:dyDescent="0.2">
      <c r="A200" s="213"/>
      <c r="B200" s="20" t="s">
        <v>286</v>
      </c>
      <c r="C200" s="25"/>
      <c r="D200" s="25"/>
      <c r="E200" s="25"/>
      <c r="F200" s="242"/>
    </row>
    <row r="201" spans="1:6" ht="26.25" thickBot="1" x14ac:dyDescent="0.25">
      <c r="A201" s="388"/>
      <c r="B201" s="293" t="s">
        <v>259</v>
      </c>
      <c r="C201" s="71"/>
      <c r="D201" s="71"/>
      <c r="E201" s="71"/>
      <c r="F201" s="380"/>
    </row>
    <row r="202" spans="1:6" x14ac:dyDescent="0.2">
      <c r="A202" s="376"/>
      <c r="B202" s="25"/>
      <c r="C202" s="25"/>
      <c r="D202" s="25"/>
      <c r="E202" s="25"/>
      <c r="F202" s="242"/>
    </row>
    <row r="203" spans="1:6" x14ac:dyDescent="0.2">
      <c r="A203" s="391" t="s">
        <v>828</v>
      </c>
      <c r="B203" s="25" t="s">
        <v>337</v>
      </c>
      <c r="C203" s="25"/>
      <c r="D203" s="25"/>
      <c r="E203" s="25"/>
      <c r="F203" s="242"/>
    </row>
    <row r="204" spans="1:6" x14ac:dyDescent="0.2">
      <c r="A204" s="376"/>
      <c r="B204" s="26"/>
      <c r="C204" s="25"/>
      <c r="D204" s="65"/>
      <c r="E204" s="25"/>
      <c r="F204" s="242"/>
    </row>
    <row r="205" spans="1:6" x14ac:dyDescent="0.2">
      <c r="A205" s="376"/>
      <c r="B205" s="25" t="s">
        <v>910</v>
      </c>
      <c r="C205" s="25"/>
      <c r="D205" s="65"/>
      <c r="E205" s="25"/>
      <c r="F205" s="242"/>
    </row>
    <row r="206" spans="1:6" ht="25.5" x14ac:dyDescent="0.2">
      <c r="A206" s="376"/>
      <c r="B206" s="26" t="s">
        <v>911</v>
      </c>
      <c r="C206" s="25"/>
      <c r="D206" s="64">
        <f>0.12*0.25*(1.5*8+2.9*3+6.55)+0.2*0.45*2.56+0.2*0.4*2.97</f>
        <v>1.2855000000000001</v>
      </c>
      <c r="E206" s="25"/>
      <c r="F206" s="242"/>
    </row>
    <row r="207" spans="1:6" x14ac:dyDescent="0.2">
      <c r="A207" s="376"/>
      <c r="B207" s="26"/>
      <c r="C207" s="66"/>
      <c r="D207" s="64"/>
      <c r="E207" s="25"/>
      <c r="F207" s="242"/>
    </row>
    <row r="208" spans="1:6" x14ac:dyDescent="0.2">
      <c r="A208" s="376"/>
      <c r="B208" s="65" t="s">
        <v>912</v>
      </c>
      <c r="C208" s="25"/>
      <c r="D208" s="65"/>
      <c r="E208" s="25"/>
      <c r="F208" s="242"/>
    </row>
    <row r="209" spans="1:6" ht="76.5" x14ac:dyDescent="0.2">
      <c r="A209" s="376"/>
      <c r="B209" s="26" t="s">
        <v>1354</v>
      </c>
      <c r="C209" s="25"/>
      <c r="D209" s="64">
        <f>0.25*0.45*(4.47+8.11+5.4+5.72*5+3.83+5.62+4.22+5.7+1.77+5.73+5.15+4.47+5.72+3.38+3.91)+0.2*0.45*(6.68+2.9*2+6.55+2.4+5.37+2.95+1.65+2.95+3.29+2.56+6.55+8.18+1.65+2.2*2+2.7)+0.12*0.25*(1.5*9+2.9*2+6.55*2)</f>
        <v>17.5122</v>
      </c>
      <c r="E209" s="25"/>
      <c r="F209" s="242"/>
    </row>
    <row r="210" spans="1:6" x14ac:dyDescent="0.2">
      <c r="A210" s="376"/>
      <c r="B210" s="26"/>
      <c r="C210" s="25"/>
      <c r="D210" s="65"/>
      <c r="E210" s="25"/>
      <c r="F210" s="242"/>
    </row>
    <row r="211" spans="1:6" x14ac:dyDescent="0.2">
      <c r="A211" s="376"/>
      <c r="B211" s="65" t="s">
        <v>913</v>
      </c>
      <c r="C211" s="25"/>
      <c r="D211" s="65"/>
      <c r="E211" s="25"/>
      <c r="F211" s="242"/>
    </row>
    <row r="212" spans="1:6" ht="76.5" x14ac:dyDescent="0.2">
      <c r="A212" s="376"/>
      <c r="B212" s="26" t="s">
        <v>1355</v>
      </c>
      <c r="C212" s="25"/>
      <c r="D212" s="64">
        <f>2*(0.25*0.45*(4.47+8.11+5.4+5.72*5+3.83+5.62+4.22+5.7+1.77+5.73+5.15+4.47+5.72+3.38+3.91)+0.2*0.45*(6.68+2.9*2+6.55+2.4+5.37+2.95+1.65+2.95+3.29+2.56+6.55+8.18+1.65+2.2*2+2.7)+0.12*0.25*(1.5*9+2.9*2+6.55*2))</f>
        <v>35.0244</v>
      </c>
      <c r="E212" s="25"/>
      <c r="F212" s="242"/>
    </row>
    <row r="213" spans="1:6" x14ac:dyDescent="0.2">
      <c r="A213" s="376"/>
      <c r="B213" s="26"/>
      <c r="C213" s="25"/>
      <c r="D213" s="65"/>
      <c r="E213" s="25"/>
      <c r="F213" s="242"/>
    </row>
    <row r="214" spans="1:6" x14ac:dyDescent="0.2">
      <c r="A214" s="376"/>
      <c r="B214" s="65" t="s">
        <v>914</v>
      </c>
      <c r="C214" s="25"/>
      <c r="D214" s="65"/>
      <c r="E214" s="25"/>
      <c r="F214" s="242"/>
    </row>
    <row r="215" spans="1:6" ht="76.5" x14ac:dyDescent="0.2">
      <c r="A215" s="376"/>
      <c r="B215" s="26" t="s">
        <v>1354</v>
      </c>
      <c r="C215" s="25"/>
      <c r="D215" s="64">
        <f>0.25*0.45*(4.47+8.11+5.4+5.72*5+3.83+5.62+4.22+5.7+1.77+5.73+5.15+4.47+5.72+3.38+3.91)+0.2*0.45*(6.68+2.9*2+6.55+2.4+5.37+2.95+1.65+2.95+3.29+2.56+6.55+8.18+1.65+2.2*2+2.7)+0.12*0.25*(1.5*9+2.9*2+6.55*2)</f>
        <v>17.5122</v>
      </c>
      <c r="E215" s="25"/>
      <c r="F215" s="242"/>
    </row>
    <row r="216" spans="1:6" x14ac:dyDescent="0.2">
      <c r="A216" s="376"/>
      <c r="B216" s="26"/>
      <c r="C216" s="25"/>
      <c r="D216" s="64"/>
      <c r="E216" s="25"/>
      <c r="F216" s="242"/>
    </row>
    <row r="217" spans="1:6" x14ac:dyDescent="0.2">
      <c r="A217" s="376"/>
      <c r="B217" s="65" t="s">
        <v>915</v>
      </c>
      <c r="C217" s="25"/>
      <c r="D217" s="65"/>
      <c r="E217" s="25"/>
      <c r="F217" s="242"/>
    </row>
    <row r="218" spans="1:6" ht="51" x14ac:dyDescent="0.2">
      <c r="A218" s="376"/>
      <c r="B218" s="26" t="s">
        <v>1356</v>
      </c>
      <c r="C218" s="66"/>
      <c r="D218" s="64">
        <f>0.25*0.45*(21.5*2+11.2*3+8.5*2+8.85)+0.2*0.45*(9.5+11.72+8.15+12.42*2+9.3+4.4*8+2.2*2+2.7)+0.25*0.35*(6.55*2+3.1*2)</f>
        <v>22.737275</v>
      </c>
      <c r="E218" s="25"/>
      <c r="F218" s="242"/>
    </row>
    <row r="219" spans="1:6" x14ac:dyDescent="0.2">
      <c r="A219" s="376"/>
      <c r="B219" s="25"/>
      <c r="C219" s="25"/>
      <c r="D219" s="65"/>
      <c r="E219" s="25"/>
      <c r="F219" s="242"/>
    </row>
    <row r="220" spans="1:6" x14ac:dyDescent="0.2">
      <c r="A220" s="376"/>
      <c r="B220" s="25" t="s">
        <v>830</v>
      </c>
      <c r="C220" s="27" t="s">
        <v>39</v>
      </c>
      <c r="D220" s="25">
        <f>SUM(D204:D218)</f>
        <v>94.071574999999996</v>
      </c>
      <c r="E220" s="30"/>
      <c r="F220" s="214">
        <f>D220*E220</f>
        <v>0</v>
      </c>
    </row>
    <row r="221" spans="1:6" x14ac:dyDescent="0.2">
      <c r="A221" s="376"/>
      <c r="B221" s="25"/>
      <c r="C221" s="25"/>
      <c r="D221" s="25"/>
      <c r="E221" s="25"/>
      <c r="F221" s="242"/>
    </row>
    <row r="222" spans="1:6" x14ac:dyDescent="0.2">
      <c r="A222" s="391" t="s">
        <v>829</v>
      </c>
      <c r="B222" s="25" t="s">
        <v>308</v>
      </c>
      <c r="C222" s="25"/>
      <c r="D222" s="25"/>
      <c r="E222" s="25"/>
      <c r="F222" s="242"/>
    </row>
    <row r="223" spans="1:6" ht="25.5" x14ac:dyDescent="0.2">
      <c r="A223" s="391"/>
      <c r="B223" s="26" t="s">
        <v>810</v>
      </c>
      <c r="C223" s="66" t="s">
        <v>39</v>
      </c>
      <c r="D223" s="65">
        <f>0.2*0.25*(1.4*7*5+1.65*2+2.42*2+2.99*2+2.51*2)</f>
        <v>3.4069999999999996</v>
      </c>
      <c r="E223" s="20"/>
      <c r="F223" s="214">
        <f>D223*E223</f>
        <v>0</v>
      </c>
    </row>
    <row r="224" spans="1:6" x14ac:dyDescent="0.2">
      <c r="A224" s="376"/>
      <c r="B224" s="82"/>
      <c r="C224" s="27"/>
      <c r="D224" s="65"/>
      <c r="E224" s="30"/>
      <c r="F224" s="214"/>
    </row>
    <row r="225" spans="1:7" ht="51" x14ac:dyDescent="0.2">
      <c r="A225" s="213" t="s">
        <v>1456</v>
      </c>
      <c r="B225" s="174" t="s">
        <v>879</v>
      </c>
      <c r="C225" s="27"/>
      <c r="D225" s="65"/>
      <c r="E225" s="30"/>
      <c r="F225" s="214"/>
      <c r="G225" s="25"/>
    </row>
    <row r="226" spans="1:7" ht="25.5" x14ac:dyDescent="0.2">
      <c r="A226" s="376"/>
      <c r="B226" s="175" t="s">
        <v>734</v>
      </c>
      <c r="C226" s="27"/>
      <c r="D226" s="65"/>
      <c r="E226" s="30"/>
      <c r="F226" s="214"/>
      <c r="G226" s="66"/>
    </row>
    <row r="227" spans="1:7" ht="13.5" thickBot="1" x14ac:dyDescent="0.25">
      <c r="A227" s="388"/>
      <c r="B227" s="294" t="s">
        <v>221</v>
      </c>
      <c r="C227" s="91"/>
      <c r="D227" s="288"/>
      <c r="E227" s="295"/>
      <c r="F227" s="383"/>
      <c r="G227" s="96"/>
    </row>
    <row r="228" spans="1:7" x14ac:dyDescent="0.2">
      <c r="A228" s="376"/>
      <c r="B228" s="10"/>
      <c r="C228" s="27"/>
      <c r="D228" s="65"/>
      <c r="E228" s="30"/>
      <c r="F228" s="214"/>
      <c r="G228" s="96"/>
    </row>
    <row r="229" spans="1:7" ht="25.5" x14ac:dyDescent="0.2">
      <c r="A229" s="376"/>
      <c r="B229" s="25" t="s">
        <v>800</v>
      </c>
      <c r="C229" s="27"/>
      <c r="D229" s="65"/>
      <c r="E229" s="30"/>
      <c r="F229" s="214"/>
      <c r="G229" s="96"/>
    </row>
    <row r="230" spans="1:7" x14ac:dyDescent="0.2">
      <c r="A230" s="376"/>
      <c r="B230" s="26" t="s">
        <v>873</v>
      </c>
      <c r="C230" s="66" t="s">
        <v>37</v>
      </c>
      <c r="D230" s="65">
        <f>36.24-1.3*1.3</f>
        <v>34.550000000000004</v>
      </c>
      <c r="E230" s="20"/>
      <c r="F230" s="392">
        <f>D230*E230</f>
        <v>0</v>
      </c>
    </row>
    <row r="231" spans="1:7" x14ac:dyDescent="0.2">
      <c r="A231" s="376"/>
      <c r="B231" s="82"/>
      <c r="C231" s="27"/>
      <c r="D231" s="65"/>
      <c r="E231" s="30"/>
      <c r="F231" s="214"/>
    </row>
    <row r="232" spans="1:7" ht="51" x14ac:dyDescent="0.2">
      <c r="A232" s="213" t="s">
        <v>298</v>
      </c>
      <c r="B232" s="174" t="s">
        <v>735</v>
      </c>
      <c r="C232" s="27"/>
      <c r="D232" s="65"/>
      <c r="E232" s="30"/>
      <c r="F232" s="214"/>
    </row>
    <row r="233" spans="1:7" ht="25.5" x14ac:dyDescent="0.2">
      <c r="A233" s="376"/>
      <c r="B233" s="175" t="s">
        <v>734</v>
      </c>
      <c r="C233" s="27"/>
      <c r="D233" s="65"/>
      <c r="E233" s="30"/>
      <c r="F233" s="214"/>
    </row>
    <row r="234" spans="1:7" x14ac:dyDescent="0.2">
      <c r="A234" s="376"/>
      <c r="B234" s="176" t="s">
        <v>221</v>
      </c>
      <c r="C234" s="27"/>
      <c r="D234" s="65"/>
      <c r="E234" s="30"/>
      <c r="F234" s="214"/>
    </row>
    <row r="235" spans="1:7" x14ac:dyDescent="0.2">
      <c r="A235" s="376"/>
      <c r="B235" s="176"/>
      <c r="C235" s="27"/>
      <c r="D235" s="65"/>
      <c r="E235" s="30"/>
      <c r="F235" s="214"/>
    </row>
    <row r="236" spans="1:7" ht="25.5" x14ac:dyDescent="0.2">
      <c r="A236" s="376"/>
      <c r="B236" s="25" t="s">
        <v>801</v>
      </c>
      <c r="C236" s="66" t="s">
        <v>37</v>
      </c>
      <c r="D236" s="65">
        <v>22.3</v>
      </c>
      <c r="E236" s="20"/>
      <c r="F236" s="392">
        <f>D236*E236</f>
        <v>0</v>
      </c>
    </row>
    <row r="237" spans="1:7" x14ac:dyDescent="0.2">
      <c r="A237" s="376"/>
      <c r="B237" s="82"/>
      <c r="C237" s="27"/>
      <c r="D237" s="65"/>
      <c r="E237" s="30"/>
      <c r="F237" s="214"/>
    </row>
    <row r="238" spans="1:7" ht="63.75" x14ac:dyDescent="0.2">
      <c r="A238" s="213" t="s">
        <v>300</v>
      </c>
      <c r="B238" s="25" t="s">
        <v>918</v>
      </c>
      <c r="C238" s="25"/>
      <c r="D238" s="25"/>
      <c r="E238" s="25"/>
      <c r="F238" s="242"/>
      <c r="G238" s="173"/>
    </row>
    <row r="239" spans="1:7" ht="25.5" x14ac:dyDescent="0.2">
      <c r="A239" s="376"/>
      <c r="B239" s="110" t="s">
        <v>202</v>
      </c>
      <c r="C239" s="25"/>
      <c r="D239" s="25"/>
      <c r="E239" s="25"/>
      <c r="F239" s="242"/>
    </row>
    <row r="240" spans="1:7" x14ac:dyDescent="0.2">
      <c r="A240" s="376"/>
      <c r="B240" s="110"/>
      <c r="C240" s="25"/>
      <c r="D240" s="25"/>
      <c r="E240" s="25"/>
      <c r="F240" s="242"/>
    </row>
    <row r="241" spans="1:7" x14ac:dyDescent="0.2">
      <c r="A241" s="376"/>
      <c r="B241" s="64" t="s">
        <v>909</v>
      </c>
      <c r="C241" s="27"/>
      <c r="D241" s="112"/>
      <c r="E241" s="30"/>
      <c r="F241" s="214"/>
    </row>
    <row r="242" spans="1:7" x14ac:dyDescent="0.2">
      <c r="A242" s="376"/>
      <c r="B242" s="64" t="s">
        <v>931</v>
      </c>
      <c r="C242" s="27" t="s">
        <v>39</v>
      </c>
      <c r="D242" s="64">
        <f>0.2*0.1*(2.7*6+0.8*2+1.8*2)</f>
        <v>0.42800000000000021</v>
      </c>
      <c r="E242" s="30"/>
      <c r="F242" s="214">
        <f>D242*E242</f>
        <v>0</v>
      </c>
    </row>
    <row r="243" spans="1:7" x14ac:dyDescent="0.2">
      <c r="A243" s="376"/>
      <c r="B243" s="25"/>
      <c r="C243" s="27"/>
      <c r="D243" s="65"/>
      <c r="E243" s="30"/>
      <c r="F243" s="214"/>
    </row>
    <row r="244" spans="1:7" ht="63.75" x14ac:dyDescent="0.2">
      <c r="A244" s="213" t="s">
        <v>302</v>
      </c>
      <c r="B244" s="110" t="s">
        <v>305</v>
      </c>
      <c r="C244" s="27"/>
      <c r="D244" s="65"/>
      <c r="E244" s="30"/>
      <c r="F244" s="214"/>
      <c r="G244" s="136"/>
    </row>
    <row r="245" spans="1:7" ht="25.5" x14ac:dyDescent="0.2">
      <c r="A245" s="213"/>
      <c r="B245" s="381" t="s">
        <v>286</v>
      </c>
      <c r="C245" s="27"/>
      <c r="D245" s="65"/>
      <c r="E245" s="30"/>
      <c r="F245" s="214"/>
    </row>
    <row r="246" spans="1:7" ht="38.25" x14ac:dyDescent="0.2">
      <c r="A246" s="376"/>
      <c r="B246" s="110" t="s">
        <v>788</v>
      </c>
      <c r="C246" s="27"/>
      <c r="D246" s="65"/>
      <c r="E246" s="30"/>
      <c r="F246" s="214"/>
    </row>
    <row r="247" spans="1:7" x14ac:dyDescent="0.2">
      <c r="A247" s="376"/>
      <c r="B247" s="25"/>
      <c r="C247" s="27"/>
      <c r="D247" s="65"/>
      <c r="E247" s="30"/>
      <c r="F247" s="214"/>
    </row>
    <row r="248" spans="1:7" x14ac:dyDescent="0.2">
      <c r="A248" s="376"/>
      <c r="B248" s="25" t="s">
        <v>917</v>
      </c>
      <c r="C248" s="27"/>
      <c r="D248" s="65"/>
      <c r="E248" s="30"/>
      <c r="F248" s="214"/>
    </row>
    <row r="249" spans="1:7" x14ac:dyDescent="0.2">
      <c r="A249" s="376"/>
      <c r="B249" s="25" t="s">
        <v>897</v>
      </c>
      <c r="C249" s="27"/>
      <c r="D249" s="65"/>
      <c r="E249" s="30"/>
      <c r="F249" s="214"/>
    </row>
    <row r="250" spans="1:7" ht="38.25" x14ac:dyDescent="0.2">
      <c r="A250" s="216" t="s">
        <v>1457</v>
      </c>
      <c r="B250" s="26" t="s">
        <v>919</v>
      </c>
      <c r="C250" s="66" t="s">
        <v>39</v>
      </c>
      <c r="D250" s="64">
        <f>0.18*594.66*5-0.18*(3.01*2.51+3.01*3.9)*5+0.18*380.12-0.18*3.01*2.11</f>
        <v>585.10771199999999</v>
      </c>
      <c r="E250" s="20"/>
      <c r="F250" s="214">
        <f>D250*E250</f>
        <v>0</v>
      </c>
    </row>
    <row r="251" spans="1:7" x14ac:dyDescent="0.2">
      <c r="A251" s="221"/>
      <c r="B251" s="26"/>
      <c r="C251" s="66"/>
      <c r="D251" s="64"/>
      <c r="E251" s="20"/>
      <c r="F251" s="214"/>
    </row>
    <row r="252" spans="1:7" x14ac:dyDescent="0.2">
      <c r="A252" s="221" t="s">
        <v>1458</v>
      </c>
      <c r="B252" s="26" t="s">
        <v>920</v>
      </c>
      <c r="C252" s="66"/>
      <c r="D252" s="64"/>
      <c r="E252" s="20"/>
      <c r="F252" s="214"/>
    </row>
    <row r="253" spans="1:7" x14ac:dyDescent="0.2">
      <c r="A253" s="221"/>
      <c r="B253" s="26" t="s">
        <v>921</v>
      </c>
      <c r="C253" s="66" t="s">
        <v>39</v>
      </c>
      <c r="D253" s="64">
        <f>0.18*80.01</f>
        <v>14.4018</v>
      </c>
      <c r="E253" s="20"/>
      <c r="F253" s="214">
        <f>D253*E253</f>
        <v>0</v>
      </c>
    </row>
    <row r="254" spans="1:7" x14ac:dyDescent="0.2">
      <c r="A254" s="376"/>
      <c r="B254" s="25"/>
      <c r="C254" s="16"/>
      <c r="D254" s="12"/>
      <c r="E254" s="30"/>
      <c r="F254" s="214"/>
    </row>
    <row r="255" spans="1:7" ht="64.5" thickBot="1" x14ac:dyDescent="0.25">
      <c r="A255" s="382" t="s">
        <v>304</v>
      </c>
      <c r="B255" s="297" t="s">
        <v>923</v>
      </c>
      <c r="C255" s="91"/>
      <c r="D255" s="288"/>
      <c r="E255" s="295"/>
      <c r="F255" s="383"/>
    </row>
    <row r="256" spans="1:7" x14ac:dyDescent="0.2">
      <c r="A256" s="213"/>
      <c r="B256" s="296"/>
      <c r="C256" s="27"/>
      <c r="D256" s="65"/>
      <c r="E256" s="30"/>
      <c r="F256" s="214"/>
    </row>
    <row r="257" spans="1:6" ht="25.5" x14ac:dyDescent="0.2">
      <c r="A257" s="213"/>
      <c r="B257" s="381" t="s">
        <v>286</v>
      </c>
      <c r="C257" s="27"/>
      <c r="D257" s="65"/>
      <c r="E257" s="30"/>
      <c r="F257" s="214"/>
    </row>
    <row r="258" spans="1:6" ht="25.5" x14ac:dyDescent="0.2">
      <c r="A258" s="376"/>
      <c r="B258" s="30" t="s">
        <v>924</v>
      </c>
      <c r="C258" s="27"/>
      <c r="D258" s="65"/>
      <c r="E258" s="30"/>
      <c r="F258" s="214"/>
    </row>
    <row r="259" spans="1:6" x14ac:dyDescent="0.2">
      <c r="A259" s="376"/>
      <c r="B259" s="110"/>
      <c r="C259" s="27"/>
      <c r="D259" s="65"/>
      <c r="E259" s="30"/>
      <c r="F259" s="214"/>
    </row>
    <row r="260" spans="1:6" x14ac:dyDescent="0.2">
      <c r="A260" s="216" t="s">
        <v>932</v>
      </c>
      <c r="B260" s="26" t="s">
        <v>925</v>
      </c>
      <c r="C260" s="27"/>
      <c r="D260" s="65"/>
      <c r="E260" s="30"/>
      <c r="F260" s="214"/>
    </row>
    <row r="261" spans="1:6" ht="25.5" x14ac:dyDescent="0.2">
      <c r="A261" s="376"/>
      <c r="B261" s="26" t="s">
        <v>928</v>
      </c>
      <c r="C261" s="66" t="s">
        <v>39</v>
      </c>
      <c r="D261" s="12">
        <f>0.18*(2.32*(2.95*2+5.77*2+5.75*2+5.45*4+2.47*2+5.37)+11.13)</f>
        <v>27.497879999999991</v>
      </c>
      <c r="E261" s="20"/>
      <c r="F261" s="214">
        <f>D261*E261</f>
        <v>0</v>
      </c>
    </row>
    <row r="262" spans="1:6" x14ac:dyDescent="0.2">
      <c r="A262" s="376"/>
      <c r="B262" s="25"/>
      <c r="C262" s="66"/>
      <c r="D262" s="12"/>
      <c r="E262" s="30"/>
      <c r="F262" s="214"/>
    </row>
    <row r="263" spans="1:6" x14ac:dyDescent="0.2">
      <c r="A263" s="216" t="s">
        <v>933</v>
      </c>
      <c r="B263" s="26" t="s">
        <v>926</v>
      </c>
      <c r="C263" s="66"/>
      <c r="D263" s="12"/>
      <c r="E263" s="30"/>
      <c r="F263" s="214"/>
    </row>
    <row r="264" spans="1:6" ht="25.5" x14ac:dyDescent="0.2">
      <c r="A264" s="376"/>
      <c r="B264" s="26" t="s">
        <v>929</v>
      </c>
      <c r="C264" s="66" t="s">
        <v>39</v>
      </c>
      <c r="D264" s="29">
        <f>0.1*(2.32*(2.95*2+5.77*2+5.75*2+5.45*4+2.47*2+5.37)+11.13)</f>
        <v>15.276599999999997</v>
      </c>
      <c r="E264" s="20"/>
      <c r="F264" s="215">
        <f>+D264*E264</f>
        <v>0</v>
      </c>
    </row>
    <row r="265" spans="1:6" x14ac:dyDescent="0.2">
      <c r="A265" s="376"/>
      <c r="B265" s="25"/>
      <c r="C265" s="27"/>
      <c r="D265" s="12"/>
      <c r="E265" s="30"/>
      <c r="F265" s="214"/>
    </row>
    <row r="266" spans="1:6" x14ac:dyDescent="0.2">
      <c r="A266" s="216" t="s">
        <v>1459</v>
      </c>
      <c r="B266" s="393" t="s">
        <v>927</v>
      </c>
      <c r="C266" s="27"/>
      <c r="D266" s="12"/>
      <c r="E266" s="30"/>
      <c r="F266" s="214"/>
    </row>
    <row r="267" spans="1:6" ht="25.5" x14ac:dyDescent="0.2">
      <c r="A267" s="376"/>
      <c r="B267" s="26" t="s">
        <v>930</v>
      </c>
      <c r="C267" s="66" t="s">
        <v>39</v>
      </c>
      <c r="D267" s="64">
        <f>0.2*0.6*(5.45*2+5.75+4.92*2+1.5+5.75+3.07+5.48+2.95+5.75*2+5.45*2)</f>
        <v>8.1167999999999996</v>
      </c>
      <c r="E267" s="20"/>
      <c r="F267" s="215">
        <f>+D267*E267</f>
        <v>0</v>
      </c>
    </row>
    <row r="268" spans="1:6" x14ac:dyDescent="0.2">
      <c r="A268" s="376"/>
      <c r="B268" s="25"/>
      <c r="C268" s="16"/>
      <c r="D268" s="12"/>
      <c r="E268" s="30"/>
      <c r="F268" s="214"/>
    </row>
    <row r="269" spans="1:6" ht="63.75" x14ac:dyDescent="0.2">
      <c r="A269" s="213" t="s">
        <v>698</v>
      </c>
      <c r="B269" s="110" t="s">
        <v>922</v>
      </c>
      <c r="C269" s="27"/>
      <c r="D269" s="65"/>
      <c r="E269" s="30"/>
      <c r="F269" s="214"/>
    </row>
    <row r="270" spans="1:6" ht="25.5" x14ac:dyDescent="0.2">
      <c r="A270" s="213"/>
      <c r="B270" s="381" t="s">
        <v>286</v>
      </c>
      <c r="C270" s="27"/>
      <c r="D270" s="65"/>
      <c r="E270" s="30"/>
      <c r="F270" s="214"/>
    </row>
    <row r="271" spans="1:6" ht="38.25" x14ac:dyDescent="0.2">
      <c r="A271" s="376"/>
      <c r="B271" s="110" t="s">
        <v>788</v>
      </c>
      <c r="C271" s="27"/>
      <c r="D271" s="65"/>
      <c r="E271" s="30"/>
      <c r="F271" s="214"/>
    </row>
    <row r="272" spans="1:6" x14ac:dyDescent="0.2">
      <c r="A272" s="376"/>
      <c r="B272" s="25"/>
      <c r="C272" s="27"/>
      <c r="D272" s="65"/>
      <c r="E272" s="30"/>
      <c r="F272" s="214"/>
    </row>
    <row r="273" spans="1:7" x14ac:dyDescent="0.2">
      <c r="A273" s="376"/>
      <c r="B273" s="26" t="s">
        <v>874</v>
      </c>
      <c r="C273" s="66" t="s">
        <v>39</v>
      </c>
      <c r="D273" s="12">
        <f>0.2*3.01*2.07</f>
        <v>1.2461399999999998</v>
      </c>
      <c r="E273" s="20"/>
      <c r="F273" s="214">
        <f>D273*E273</f>
        <v>0</v>
      </c>
    </row>
    <row r="274" spans="1:7" x14ac:dyDescent="0.2">
      <c r="A274" s="376"/>
      <c r="B274" s="25"/>
      <c r="C274" s="16"/>
      <c r="D274" s="12"/>
      <c r="E274" s="30"/>
      <c r="F274" s="214"/>
    </row>
    <row r="275" spans="1:7" ht="63.75" x14ac:dyDescent="0.2">
      <c r="A275" s="213" t="s">
        <v>699</v>
      </c>
      <c r="B275" s="110" t="s">
        <v>916</v>
      </c>
      <c r="C275" s="27"/>
      <c r="D275" s="65"/>
      <c r="E275" s="30"/>
      <c r="F275" s="214"/>
    </row>
    <row r="276" spans="1:7" ht="25.5" x14ac:dyDescent="0.2">
      <c r="A276" s="213"/>
      <c r="B276" s="381" t="s">
        <v>286</v>
      </c>
      <c r="C276" s="27"/>
      <c r="D276" s="65"/>
      <c r="E276" s="30"/>
      <c r="F276" s="214"/>
    </row>
    <row r="277" spans="1:7" x14ac:dyDescent="0.2">
      <c r="A277" s="376"/>
      <c r="B277" s="110" t="s">
        <v>805</v>
      </c>
      <c r="C277" s="27"/>
      <c r="D277" s="65"/>
      <c r="E277" s="30"/>
      <c r="F277" s="214"/>
    </row>
    <row r="278" spans="1:7" x14ac:dyDescent="0.2">
      <c r="A278" s="376"/>
      <c r="B278" s="25"/>
      <c r="C278" s="27"/>
      <c r="D278" s="65"/>
      <c r="E278" s="30"/>
      <c r="F278" s="214"/>
    </row>
    <row r="279" spans="1:7" x14ac:dyDescent="0.2">
      <c r="A279" s="376"/>
      <c r="B279" s="26" t="s">
        <v>875</v>
      </c>
      <c r="C279" s="66" t="s">
        <v>39</v>
      </c>
      <c r="D279" s="12">
        <f>0.15*2.6*1.75</f>
        <v>0.6825</v>
      </c>
      <c r="E279" s="20"/>
      <c r="F279" s="214">
        <f>D279*E279</f>
        <v>0</v>
      </c>
    </row>
    <row r="280" spans="1:7" x14ac:dyDescent="0.2">
      <c r="A280" s="376"/>
      <c r="B280" s="25"/>
      <c r="C280" s="16"/>
      <c r="D280" s="12"/>
      <c r="E280" s="30"/>
      <c r="F280" s="214"/>
    </row>
    <row r="281" spans="1:7" ht="63.75" x14ac:dyDescent="0.2">
      <c r="A281" s="213" t="s">
        <v>700</v>
      </c>
      <c r="B281" s="110" t="s">
        <v>341</v>
      </c>
      <c r="C281" s="27"/>
      <c r="D281" s="65"/>
      <c r="E281" s="30"/>
      <c r="F281" s="214"/>
      <c r="G281" s="136"/>
    </row>
    <row r="282" spans="1:7" ht="25.5" x14ac:dyDescent="0.2">
      <c r="A282" s="213"/>
      <c r="B282" s="381" t="s">
        <v>286</v>
      </c>
      <c r="C282" s="27"/>
      <c r="D282" s="65"/>
      <c r="E282" s="30"/>
      <c r="F282" s="214"/>
    </row>
    <row r="283" spans="1:7" ht="39" thickBot="1" x14ac:dyDescent="0.25">
      <c r="A283" s="388"/>
      <c r="B283" s="297" t="s">
        <v>788</v>
      </c>
      <c r="C283" s="91"/>
      <c r="D283" s="288"/>
      <c r="E283" s="295"/>
      <c r="F283" s="383"/>
    </row>
    <row r="284" spans="1:7" x14ac:dyDescent="0.2">
      <c r="A284" s="376"/>
      <c r="B284" s="25"/>
      <c r="C284" s="27"/>
      <c r="D284" s="65"/>
      <c r="E284" s="30"/>
      <c r="F284" s="214"/>
    </row>
    <row r="285" spans="1:7" x14ac:dyDescent="0.2">
      <c r="A285" s="376"/>
      <c r="B285" s="25" t="s">
        <v>340</v>
      </c>
      <c r="C285" s="27"/>
      <c r="D285" s="65"/>
      <c r="E285" s="30"/>
      <c r="F285" s="214"/>
    </row>
    <row r="286" spans="1:7" x14ac:dyDescent="0.2">
      <c r="A286" s="376"/>
      <c r="B286" s="26" t="s">
        <v>876</v>
      </c>
      <c r="C286" s="66" t="s">
        <v>39</v>
      </c>
      <c r="D286" s="12">
        <f>0.15*1.42*2.9*(5+6*5)</f>
        <v>21.619499999999999</v>
      </c>
      <c r="E286" s="30"/>
      <c r="F286" s="214">
        <f>D286*E286</f>
        <v>0</v>
      </c>
    </row>
    <row r="287" spans="1:7" x14ac:dyDescent="0.2">
      <c r="A287" s="376"/>
      <c r="B287" s="26"/>
      <c r="C287" s="16"/>
      <c r="D287" s="12"/>
      <c r="E287" s="30"/>
      <c r="F287" s="214"/>
    </row>
    <row r="288" spans="1:7" ht="63.75" x14ac:dyDescent="0.2">
      <c r="A288" s="213" t="s">
        <v>831</v>
      </c>
      <c r="B288" s="30" t="s">
        <v>306</v>
      </c>
      <c r="C288" s="27"/>
      <c r="D288" s="65"/>
      <c r="E288" s="30"/>
      <c r="F288" s="214"/>
    </row>
    <row r="289" spans="1:7" ht="25.5" x14ac:dyDescent="0.2">
      <c r="A289" s="213"/>
      <c r="B289" s="30" t="s">
        <v>286</v>
      </c>
      <c r="C289" s="27"/>
      <c r="D289" s="65"/>
      <c r="E289" s="30"/>
      <c r="F289" s="214"/>
    </row>
    <row r="290" spans="1:7" ht="38.25" x14ac:dyDescent="0.2">
      <c r="A290" s="376"/>
      <c r="B290" s="30" t="s">
        <v>301</v>
      </c>
      <c r="C290" s="27"/>
      <c r="D290" s="65"/>
      <c r="E290" s="30"/>
      <c r="F290" s="214"/>
    </row>
    <row r="291" spans="1:7" x14ac:dyDescent="0.2">
      <c r="A291" s="376"/>
      <c r="B291" s="25"/>
      <c r="C291" s="27"/>
      <c r="D291" s="65"/>
      <c r="E291" s="30"/>
      <c r="F291" s="214"/>
    </row>
    <row r="292" spans="1:7" x14ac:dyDescent="0.2">
      <c r="A292" s="216" t="s">
        <v>1460</v>
      </c>
      <c r="B292" s="25" t="s">
        <v>320</v>
      </c>
      <c r="C292" s="27"/>
      <c r="D292" s="65"/>
      <c r="E292" s="30"/>
      <c r="F292" s="214"/>
      <c r="G292" s="177"/>
    </row>
    <row r="293" spans="1:7" x14ac:dyDescent="0.2">
      <c r="A293" s="376"/>
      <c r="B293" s="25" t="s">
        <v>303</v>
      </c>
      <c r="C293" s="27"/>
      <c r="D293" s="65"/>
      <c r="E293" s="30"/>
      <c r="F293" s="214"/>
      <c r="G293" s="178"/>
    </row>
    <row r="294" spans="1:7" x14ac:dyDescent="0.2">
      <c r="A294" s="376"/>
      <c r="B294" s="26" t="s">
        <v>339</v>
      </c>
      <c r="C294" s="16" t="s">
        <v>37</v>
      </c>
      <c r="D294" s="12">
        <f>3.12*1.45*2*4</f>
        <v>36.192</v>
      </c>
      <c r="E294" s="30"/>
      <c r="F294" s="214">
        <f>D294*E294</f>
        <v>0</v>
      </c>
      <c r="G294" s="178"/>
    </row>
    <row r="295" spans="1:7" x14ac:dyDescent="0.2">
      <c r="A295" s="376"/>
      <c r="B295" s="25"/>
      <c r="C295" s="27"/>
      <c r="D295" s="65"/>
      <c r="E295" s="30"/>
      <c r="F295" s="214"/>
    </row>
    <row r="296" spans="1:7" x14ac:dyDescent="0.2">
      <c r="A296" s="216" t="s">
        <v>1461</v>
      </c>
      <c r="B296" s="25" t="s">
        <v>321</v>
      </c>
      <c r="C296" s="27"/>
      <c r="D296" s="65"/>
      <c r="E296" s="30"/>
      <c r="F296" s="214"/>
    </row>
    <row r="297" spans="1:7" x14ac:dyDescent="0.2">
      <c r="A297" s="376"/>
      <c r="B297" s="26" t="s">
        <v>338</v>
      </c>
      <c r="C297" s="16" t="s">
        <v>37</v>
      </c>
      <c r="D297" s="12">
        <f>1.25*3.01*4</f>
        <v>15.049999999999999</v>
      </c>
      <c r="E297" s="30"/>
      <c r="F297" s="214">
        <f>D297*E297</f>
        <v>0</v>
      </c>
    </row>
    <row r="298" spans="1:7" x14ac:dyDescent="0.2">
      <c r="A298" s="376"/>
      <c r="B298" s="25"/>
      <c r="C298" s="27"/>
      <c r="D298" s="65"/>
      <c r="E298" s="30"/>
      <c r="F298" s="214"/>
    </row>
    <row r="299" spans="1:7" ht="76.5" x14ac:dyDescent="0.2">
      <c r="A299" s="213" t="s">
        <v>702</v>
      </c>
      <c r="B299" s="30" t="s">
        <v>806</v>
      </c>
      <c r="C299" s="27"/>
      <c r="D299" s="65"/>
      <c r="E299" s="30"/>
      <c r="F299" s="214"/>
    </row>
    <row r="300" spans="1:7" ht="25.5" x14ac:dyDescent="0.2">
      <c r="A300" s="213"/>
      <c r="B300" s="30" t="s">
        <v>286</v>
      </c>
      <c r="C300" s="27"/>
      <c r="D300" s="65"/>
      <c r="E300" s="30"/>
      <c r="F300" s="214"/>
    </row>
    <row r="301" spans="1:7" ht="38.25" x14ac:dyDescent="0.2">
      <c r="A301" s="376"/>
      <c r="B301" s="30" t="s">
        <v>752</v>
      </c>
      <c r="C301" s="27"/>
      <c r="D301" s="65"/>
      <c r="E301" s="30"/>
      <c r="F301" s="214"/>
    </row>
    <row r="302" spans="1:7" x14ac:dyDescent="0.2">
      <c r="A302" s="376"/>
      <c r="B302" s="25"/>
      <c r="C302" s="27"/>
      <c r="D302" s="65"/>
      <c r="E302" s="30"/>
      <c r="F302" s="214"/>
    </row>
    <row r="303" spans="1:7" x14ac:dyDescent="0.2">
      <c r="A303" s="216" t="s">
        <v>807</v>
      </c>
      <c r="B303" s="25" t="s">
        <v>320</v>
      </c>
      <c r="C303" s="27"/>
      <c r="D303" s="65"/>
      <c r="E303" s="30"/>
      <c r="F303" s="214"/>
    </row>
    <row r="304" spans="1:7" x14ac:dyDescent="0.2">
      <c r="A304" s="376"/>
      <c r="B304" s="25" t="s">
        <v>808</v>
      </c>
      <c r="C304" s="27"/>
      <c r="D304" s="65"/>
      <c r="E304" s="30"/>
      <c r="F304" s="214"/>
    </row>
    <row r="305" spans="1:6" x14ac:dyDescent="0.2">
      <c r="A305" s="376"/>
      <c r="B305" s="26" t="s">
        <v>844</v>
      </c>
      <c r="C305" s="16" t="s">
        <v>37</v>
      </c>
      <c r="D305" s="12">
        <f>0.95*4.53*2</f>
        <v>8.6069999999999993</v>
      </c>
      <c r="E305" s="30"/>
      <c r="F305" s="214">
        <f>D305*E305</f>
        <v>0</v>
      </c>
    </row>
    <row r="306" spans="1:6" x14ac:dyDescent="0.2">
      <c r="A306" s="376"/>
      <c r="B306" s="26"/>
      <c r="C306" s="16"/>
      <c r="D306" s="12"/>
      <c r="E306" s="30"/>
      <c r="F306" s="214"/>
    </row>
    <row r="307" spans="1:6" x14ac:dyDescent="0.2">
      <c r="A307" s="216" t="s">
        <v>749</v>
      </c>
      <c r="B307" s="25" t="s">
        <v>845</v>
      </c>
      <c r="C307" s="27"/>
      <c r="D307" s="65"/>
      <c r="E307" s="30"/>
      <c r="F307" s="214"/>
    </row>
    <row r="308" spans="1:6" x14ac:dyDescent="0.2">
      <c r="A308" s="376"/>
      <c r="B308" s="26" t="s">
        <v>846</v>
      </c>
      <c r="C308" s="16" t="s">
        <v>37</v>
      </c>
      <c r="D308" s="12">
        <f>4.53*6.98</f>
        <v>31.619400000000002</v>
      </c>
      <c r="E308" s="30"/>
      <c r="F308" s="214">
        <f>D308*E308</f>
        <v>0</v>
      </c>
    </row>
    <row r="309" spans="1:6" x14ac:dyDescent="0.2">
      <c r="A309" s="376"/>
      <c r="B309" s="26"/>
      <c r="C309" s="16"/>
      <c r="D309" s="12"/>
      <c r="E309" s="30"/>
      <c r="F309" s="214"/>
    </row>
    <row r="310" spans="1:6" x14ac:dyDescent="0.2">
      <c r="A310" s="216" t="s">
        <v>1462</v>
      </c>
      <c r="B310" s="30" t="s">
        <v>750</v>
      </c>
      <c r="C310" s="25"/>
      <c r="D310" s="25"/>
      <c r="E310" s="23"/>
      <c r="F310" s="214"/>
    </row>
    <row r="311" spans="1:6" ht="25.5" x14ac:dyDescent="0.2">
      <c r="A311" s="376"/>
      <c r="B311" s="31" t="s">
        <v>850</v>
      </c>
      <c r="C311" s="16" t="s">
        <v>39</v>
      </c>
      <c r="D311" s="24">
        <f>0.15*(0.82+1.2)/2*0.66+0.15*0.8*4.53+0.15*1.2*7.48</f>
        <v>1.9899900000000001</v>
      </c>
      <c r="E311" s="18"/>
      <c r="F311" s="215">
        <f>+D311*E311</f>
        <v>0</v>
      </c>
    </row>
    <row r="312" spans="1:6" x14ac:dyDescent="0.2">
      <c r="A312" s="376"/>
      <c r="B312" s="31"/>
      <c r="C312" s="25"/>
      <c r="D312" s="25"/>
      <c r="E312" s="23"/>
      <c r="F312" s="214"/>
    </row>
    <row r="313" spans="1:6" x14ac:dyDescent="0.2">
      <c r="A313" s="216" t="s">
        <v>1463</v>
      </c>
      <c r="B313" s="30" t="s">
        <v>751</v>
      </c>
      <c r="C313" s="25"/>
      <c r="D313" s="25"/>
      <c r="E313" s="23"/>
      <c r="F313" s="214"/>
    </row>
    <row r="314" spans="1:6" ht="13.5" thickBot="1" x14ac:dyDescent="0.25">
      <c r="A314" s="388"/>
      <c r="B314" s="298" t="s">
        <v>847</v>
      </c>
      <c r="C314" s="93" t="s">
        <v>39</v>
      </c>
      <c r="D314" s="287">
        <f>0.4*0.3*(4.53+7.3)</f>
        <v>1.4196</v>
      </c>
      <c r="E314" s="94"/>
      <c r="F314" s="358">
        <f>+D314*E314</f>
        <v>0</v>
      </c>
    </row>
    <row r="315" spans="1:6" x14ac:dyDescent="0.2">
      <c r="A315" s="376"/>
      <c r="B315" s="31"/>
      <c r="C315" s="16"/>
      <c r="D315" s="24"/>
      <c r="E315" s="18"/>
      <c r="F315" s="215"/>
    </row>
    <row r="316" spans="1:6" ht="89.25" x14ac:dyDescent="0.2">
      <c r="A316" s="213" t="s">
        <v>701</v>
      </c>
      <c r="B316" s="30" t="s">
        <v>262</v>
      </c>
      <c r="C316" s="25"/>
      <c r="D316" s="25"/>
      <c r="E316" s="23"/>
      <c r="F316" s="242"/>
    </row>
    <row r="317" spans="1:6" ht="25.5" x14ac:dyDescent="0.2">
      <c r="A317" s="376"/>
      <c r="B317" s="30" t="s">
        <v>147</v>
      </c>
      <c r="C317" s="25"/>
      <c r="D317" s="25"/>
      <c r="E317" s="23"/>
      <c r="F317" s="242"/>
    </row>
    <row r="318" spans="1:6" x14ac:dyDescent="0.2">
      <c r="A318" s="376"/>
      <c r="B318" s="30"/>
      <c r="C318" s="25"/>
      <c r="D318" s="25"/>
      <c r="E318" s="23"/>
      <c r="F318" s="242"/>
    </row>
    <row r="319" spans="1:6" x14ac:dyDescent="0.2">
      <c r="A319" s="216" t="s">
        <v>703</v>
      </c>
      <c r="B319" s="30" t="s">
        <v>697</v>
      </c>
      <c r="C319" s="25"/>
      <c r="D319" s="25"/>
      <c r="E319" s="23"/>
      <c r="F319" s="242"/>
    </row>
    <row r="320" spans="1:6" x14ac:dyDescent="0.2">
      <c r="A320" s="376"/>
      <c r="B320" s="31" t="s">
        <v>762</v>
      </c>
      <c r="C320" s="16" t="s">
        <v>37</v>
      </c>
      <c r="D320" s="56">
        <f>1.1*(6.01+6.02)</f>
        <v>13.233000000000001</v>
      </c>
      <c r="E320" s="18"/>
      <c r="F320" s="215">
        <f>+D320*E320</f>
        <v>0</v>
      </c>
    </row>
    <row r="321" spans="1:6" x14ac:dyDescent="0.2">
      <c r="A321" s="376"/>
      <c r="B321" s="25"/>
      <c r="C321" s="27"/>
      <c r="D321" s="65"/>
      <c r="E321" s="30"/>
      <c r="F321" s="214"/>
    </row>
    <row r="322" spans="1:6" x14ac:dyDescent="0.2">
      <c r="A322" s="216" t="s">
        <v>704</v>
      </c>
      <c r="B322" s="30" t="s">
        <v>746</v>
      </c>
      <c r="C322" s="16"/>
      <c r="D322" s="56"/>
      <c r="E322" s="23"/>
      <c r="F322" s="214"/>
    </row>
    <row r="323" spans="1:6" x14ac:dyDescent="0.2">
      <c r="A323" s="376"/>
      <c r="B323" s="31" t="s">
        <v>809</v>
      </c>
      <c r="C323" s="16" t="s">
        <v>37</v>
      </c>
      <c r="D323" s="31">
        <f>1.1*1.63</f>
        <v>1.7929999999999999</v>
      </c>
      <c r="E323" s="18"/>
      <c r="F323" s="215">
        <f>+D323*E323</f>
        <v>0</v>
      </c>
    </row>
    <row r="324" spans="1:6" x14ac:dyDescent="0.2">
      <c r="A324" s="376"/>
      <c r="B324" s="25"/>
      <c r="C324" s="25"/>
      <c r="D324" s="25"/>
      <c r="E324" s="23"/>
      <c r="F324" s="214"/>
    </row>
    <row r="325" spans="1:6" x14ac:dyDescent="0.2">
      <c r="A325" s="216" t="s">
        <v>832</v>
      </c>
      <c r="B325" s="30" t="s">
        <v>747</v>
      </c>
      <c r="C325" s="25"/>
      <c r="D325" s="25"/>
      <c r="E325" s="23"/>
      <c r="F325" s="214"/>
    </row>
    <row r="326" spans="1:6" ht="25.5" x14ac:dyDescent="0.2">
      <c r="A326" s="376"/>
      <c r="B326" s="31" t="s">
        <v>849</v>
      </c>
      <c r="C326" s="16" t="s">
        <v>39</v>
      </c>
      <c r="D326" s="24">
        <f>0.15*(0.51+1.55)/2*13.51*2+0.15*0.51*0.9</f>
        <v>4.2434400000000005</v>
      </c>
      <c r="E326" s="18"/>
      <c r="F326" s="215">
        <f>+D326*E326</f>
        <v>0</v>
      </c>
    </row>
    <row r="327" spans="1:6" x14ac:dyDescent="0.2">
      <c r="A327" s="376"/>
      <c r="B327" s="31"/>
      <c r="C327" s="25"/>
      <c r="D327" s="25"/>
      <c r="E327" s="23"/>
      <c r="F327" s="214"/>
    </row>
    <row r="328" spans="1:6" x14ac:dyDescent="0.2">
      <c r="A328" s="216" t="s">
        <v>834</v>
      </c>
      <c r="B328" s="30" t="s">
        <v>748</v>
      </c>
      <c r="C328" s="25"/>
      <c r="D328" s="25"/>
      <c r="E328" s="23"/>
      <c r="F328" s="214"/>
    </row>
    <row r="329" spans="1:6" x14ac:dyDescent="0.2">
      <c r="A329" s="376"/>
      <c r="B329" s="31" t="s">
        <v>848</v>
      </c>
      <c r="C329" s="16" t="s">
        <v>39</v>
      </c>
      <c r="D329" s="24">
        <f>0.4*0.3*(13.64*2+0.9)</f>
        <v>3.3815999999999997</v>
      </c>
      <c r="E329" s="18"/>
      <c r="F329" s="215">
        <f>+D329*E329</f>
        <v>0</v>
      </c>
    </row>
    <row r="330" spans="1:6" x14ac:dyDescent="0.2">
      <c r="A330" s="391"/>
      <c r="B330" s="26"/>
      <c r="C330" s="27"/>
      <c r="D330" s="65"/>
      <c r="E330" s="30"/>
      <c r="F330" s="214"/>
    </row>
    <row r="331" spans="1:6" x14ac:dyDescent="0.2">
      <c r="A331" s="213" t="s">
        <v>833</v>
      </c>
      <c r="B331" s="86" t="s">
        <v>753</v>
      </c>
      <c r="C331" s="113"/>
      <c r="D331" s="19"/>
      <c r="E331" s="12"/>
      <c r="F331" s="215"/>
    </row>
    <row r="332" spans="1:6" x14ac:dyDescent="0.2">
      <c r="A332" s="391"/>
      <c r="B332" s="25" t="s">
        <v>754</v>
      </c>
      <c r="C332" s="113"/>
      <c r="D332" s="19"/>
      <c r="E332" s="12"/>
      <c r="F332" s="215"/>
    </row>
    <row r="333" spans="1:6" x14ac:dyDescent="0.2">
      <c r="A333" s="391"/>
      <c r="B333" s="86" t="s">
        <v>790</v>
      </c>
      <c r="C333" s="113"/>
      <c r="D333" s="19"/>
      <c r="E333" s="12"/>
      <c r="F333" s="215"/>
    </row>
    <row r="334" spans="1:6" x14ac:dyDescent="0.2">
      <c r="A334" s="391"/>
      <c r="B334" s="25" t="s">
        <v>791</v>
      </c>
      <c r="C334" s="113"/>
      <c r="D334" s="19"/>
      <c r="E334" s="12"/>
      <c r="F334" s="215"/>
    </row>
    <row r="335" spans="1:6" x14ac:dyDescent="0.2">
      <c r="A335" s="391"/>
      <c r="B335" s="25" t="s">
        <v>755</v>
      </c>
      <c r="C335" s="113"/>
      <c r="D335" s="19"/>
      <c r="E335" s="12"/>
      <c r="F335" s="215"/>
    </row>
    <row r="336" spans="1:6" x14ac:dyDescent="0.2">
      <c r="A336" s="391"/>
      <c r="B336" s="25" t="s">
        <v>756</v>
      </c>
      <c r="C336" s="113"/>
      <c r="D336" s="19"/>
      <c r="E336" s="12"/>
      <c r="F336" s="215"/>
    </row>
    <row r="337" spans="1:6" x14ac:dyDescent="0.2">
      <c r="A337" s="391"/>
      <c r="B337" s="25" t="s">
        <v>757</v>
      </c>
      <c r="C337" s="113"/>
      <c r="D337" s="19"/>
      <c r="E337" s="12"/>
      <c r="F337" s="215"/>
    </row>
    <row r="338" spans="1:6" x14ac:dyDescent="0.2">
      <c r="A338" s="391"/>
      <c r="B338" s="25" t="s">
        <v>758</v>
      </c>
      <c r="C338" s="113"/>
      <c r="D338" s="19"/>
      <c r="E338" s="12"/>
      <c r="F338" s="215"/>
    </row>
    <row r="339" spans="1:6" ht="25.5" x14ac:dyDescent="0.2">
      <c r="A339" s="391"/>
      <c r="B339" s="35" t="s">
        <v>787</v>
      </c>
      <c r="C339" s="113"/>
      <c r="D339" s="19"/>
      <c r="E339" s="12"/>
      <c r="F339" s="215"/>
    </row>
    <row r="340" spans="1:6" x14ac:dyDescent="0.2">
      <c r="A340" s="391"/>
      <c r="B340" s="15"/>
      <c r="C340" s="113"/>
      <c r="D340" s="19"/>
      <c r="E340" s="12"/>
      <c r="F340" s="215"/>
    </row>
    <row r="341" spans="1:6" x14ac:dyDescent="0.2">
      <c r="A341" s="216" t="s">
        <v>835</v>
      </c>
      <c r="B341" s="25" t="s">
        <v>759</v>
      </c>
      <c r="C341" s="25"/>
      <c r="D341" s="25"/>
      <c r="E341" s="25"/>
      <c r="F341" s="242"/>
    </row>
    <row r="342" spans="1:6" x14ac:dyDescent="0.2">
      <c r="A342" s="391"/>
      <c r="B342" s="269" t="s">
        <v>760</v>
      </c>
      <c r="C342" s="16" t="s">
        <v>37</v>
      </c>
      <c r="D342" s="17">
        <f>1.3*1.3-1*1</f>
        <v>0.69000000000000017</v>
      </c>
      <c r="E342" s="18"/>
      <c r="F342" s="215">
        <f>+D342*E342</f>
        <v>0</v>
      </c>
    </row>
    <row r="343" spans="1:6" x14ac:dyDescent="0.2">
      <c r="A343" s="391"/>
      <c r="B343" s="25"/>
      <c r="C343" s="25"/>
      <c r="D343" s="25"/>
      <c r="E343" s="25"/>
      <c r="F343" s="242"/>
    </row>
    <row r="344" spans="1:6" x14ac:dyDescent="0.2">
      <c r="A344" s="216" t="s">
        <v>836</v>
      </c>
      <c r="B344" s="25" t="s">
        <v>761</v>
      </c>
      <c r="C344" s="25"/>
      <c r="D344" s="25"/>
      <c r="E344" s="25"/>
      <c r="F344" s="242"/>
    </row>
    <row r="345" spans="1:6" x14ac:dyDescent="0.2">
      <c r="A345" s="391"/>
      <c r="B345" s="270" t="s">
        <v>871</v>
      </c>
      <c r="C345" s="16" t="s">
        <v>37</v>
      </c>
      <c r="D345" s="24">
        <f>1.33*(1.3*2+1*2)+0.65*(1.3*2+1*2)</f>
        <v>9.1079999999999988</v>
      </c>
      <c r="E345" s="18"/>
      <c r="F345" s="215">
        <f>+D345*E345</f>
        <v>0</v>
      </c>
    </row>
    <row r="346" spans="1:6" x14ac:dyDescent="0.2">
      <c r="A346" s="391"/>
      <c r="B346" s="270"/>
      <c r="C346" s="16"/>
      <c r="D346" s="24"/>
      <c r="E346" s="12"/>
      <c r="F346" s="215"/>
    </row>
    <row r="347" spans="1:6" x14ac:dyDescent="0.2">
      <c r="A347" s="216" t="s">
        <v>837</v>
      </c>
      <c r="B347" s="25" t="s">
        <v>759</v>
      </c>
      <c r="C347" s="25"/>
      <c r="D347" s="25"/>
      <c r="E347" s="25"/>
      <c r="F347" s="242"/>
    </row>
    <row r="348" spans="1:6" x14ac:dyDescent="0.2">
      <c r="A348" s="391"/>
      <c r="B348" s="269" t="s">
        <v>872</v>
      </c>
      <c r="C348" s="16" t="s">
        <v>37</v>
      </c>
      <c r="D348" s="17">
        <f>1.3*1.3*2</f>
        <v>3.3800000000000003</v>
      </c>
      <c r="E348" s="18"/>
      <c r="F348" s="215">
        <f>+D348*E348</f>
        <v>0</v>
      </c>
    </row>
    <row r="349" spans="1:6" x14ac:dyDescent="0.2">
      <c r="A349" s="391"/>
      <c r="B349" s="26"/>
      <c r="C349" s="27"/>
      <c r="D349" s="65"/>
      <c r="E349" s="30"/>
      <c r="F349" s="214"/>
    </row>
    <row r="350" spans="1:6" ht="51" x14ac:dyDescent="0.2">
      <c r="A350" s="213" t="s">
        <v>838</v>
      </c>
      <c r="B350" s="25" t="s">
        <v>617</v>
      </c>
      <c r="C350" s="25"/>
      <c r="D350" s="65"/>
      <c r="E350" s="25"/>
      <c r="F350" s="242"/>
    </row>
    <row r="351" spans="1:6" ht="51.75" thickBot="1" x14ac:dyDescent="0.25">
      <c r="A351" s="388"/>
      <c r="B351" s="299" t="s">
        <v>309</v>
      </c>
      <c r="C351" s="71"/>
      <c r="D351" s="288"/>
      <c r="E351" s="71"/>
      <c r="F351" s="380"/>
    </row>
    <row r="352" spans="1:6" x14ac:dyDescent="0.2">
      <c r="A352" s="376"/>
      <c r="B352" s="21"/>
      <c r="C352" s="25"/>
      <c r="D352" s="65"/>
      <c r="E352" s="25"/>
      <c r="F352" s="242"/>
    </row>
    <row r="353" spans="1:10" ht="51" x14ac:dyDescent="0.2">
      <c r="A353" s="376"/>
      <c r="B353" s="21" t="s">
        <v>294</v>
      </c>
      <c r="C353" s="25"/>
      <c r="D353" s="65"/>
      <c r="E353" s="25"/>
      <c r="F353" s="242"/>
    </row>
    <row r="354" spans="1:10" ht="38.25" x14ac:dyDescent="0.2">
      <c r="A354" s="376"/>
      <c r="B354" s="20" t="s">
        <v>295</v>
      </c>
      <c r="C354" s="25"/>
      <c r="D354" s="65"/>
      <c r="E354" s="25"/>
      <c r="F354" s="242"/>
    </row>
    <row r="355" spans="1:10" ht="25.5" x14ac:dyDescent="0.2">
      <c r="A355" s="376"/>
      <c r="B355" s="125" t="s">
        <v>296</v>
      </c>
      <c r="C355" s="25"/>
      <c r="D355" s="65"/>
      <c r="E355" s="25"/>
      <c r="F355" s="242"/>
    </row>
    <row r="356" spans="1:10" x14ac:dyDescent="0.2">
      <c r="A356" s="376"/>
      <c r="B356" s="25"/>
      <c r="C356" s="25"/>
      <c r="D356" s="65"/>
      <c r="E356" s="25"/>
      <c r="F356" s="242"/>
    </row>
    <row r="357" spans="1:10" ht="51" x14ac:dyDescent="0.2">
      <c r="A357" s="376"/>
      <c r="B357" s="26" t="s">
        <v>877</v>
      </c>
      <c r="C357" s="180" t="s">
        <v>39</v>
      </c>
      <c r="D357" s="65">
        <f>0.12*(18.71+22.8+49.26+10.83)+0.1*0.25*(4.5+1.4+10.67+9.96+1.4*2+4.5+5.8+7.51+1.44+1.8+2.65+8.2+7.7+5.02+4.5+15.14)</f>
        <v>14.531750000000001</v>
      </c>
      <c r="E357" s="20"/>
      <c r="F357" s="214">
        <f>D357*E357</f>
        <v>0</v>
      </c>
    </row>
    <row r="358" spans="1:10" ht="13.5" thickBot="1" x14ac:dyDescent="0.25">
      <c r="A358" s="213"/>
      <c r="B358" s="31"/>
      <c r="C358" s="27"/>
      <c r="D358" s="25"/>
      <c r="E358" s="21"/>
      <c r="F358" s="214"/>
      <c r="H358" s="87"/>
    </row>
    <row r="359" spans="1:10" s="2" customFormat="1" ht="15.95" customHeight="1" thickBot="1" x14ac:dyDescent="0.25">
      <c r="A359" s="384" t="str">
        <f>A63</f>
        <v>2.</v>
      </c>
      <c r="B359" s="49" t="s">
        <v>89</v>
      </c>
      <c r="C359" s="50"/>
      <c r="D359" s="50"/>
      <c r="E359" s="51"/>
      <c r="F359" s="238">
        <f>SUM(F64:F358)</f>
        <v>0</v>
      </c>
      <c r="G359" s="3"/>
      <c r="H359" s="3"/>
      <c r="I359" s="3"/>
      <c r="J359" s="3"/>
    </row>
    <row r="360" spans="1:10" s="2" customFormat="1" ht="15.95" customHeight="1" thickBot="1" x14ac:dyDescent="0.25">
      <c r="A360" s="385" t="s">
        <v>23</v>
      </c>
      <c r="B360" s="49" t="s">
        <v>49</v>
      </c>
      <c r="C360" s="50"/>
      <c r="D360" s="50"/>
      <c r="E360" s="60"/>
      <c r="F360" s="386"/>
      <c r="G360" s="128"/>
      <c r="H360" s="3"/>
      <c r="I360" s="3"/>
      <c r="J360" s="3"/>
    </row>
    <row r="361" spans="1:10" x14ac:dyDescent="0.2">
      <c r="A361" s="376"/>
      <c r="B361" s="25"/>
      <c r="C361" s="25"/>
      <c r="D361" s="25"/>
      <c r="E361" s="25"/>
      <c r="F361" s="242"/>
    </row>
    <row r="362" spans="1:10" ht="25.5" x14ac:dyDescent="0.2">
      <c r="A362" s="213" t="s">
        <v>82</v>
      </c>
      <c r="B362" s="21" t="s">
        <v>311</v>
      </c>
      <c r="C362" s="25"/>
      <c r="D362" s="25"/>
      <c r="E362" s="25"/>
      <c r="F362" s="394">
        <f>E362*D362</f>
        <v>0</v>
      </c>
    </row>
    <row r="363" spans="1:10" ht="51" x14ac:dyDescent="0.2">
      <c r="A363" s="213"/>
      <c r="B363" s="21" t="s">
        <v>310</v>
      </c>
      <c r="C363" s="25"/>
      <c r="D363" s="25"/>
      <c r="E363" s="25"/>
      <c r="F363" s="394"/>
    </row>
    <row r="364" spans="1:10" x14ac:dyDescent="0.2">
      <c r="A364" s="376"/>
      <c r="B364" s="12" t="s">
        <v>50</v>
      </c>
      <c r="C364" s="32" t="s">
        <v>51</v>
      </c>
      <c r="D364" s="25">
        <v>130000</v>
      </c>
      <c r="E364" s="25"/>
      <c r="F364" s="394">
        <f>E364*D364</f>
        <v>0</v>
      </c>
    </row>
    <row r="365" spans="1:10" ht="13.5" thickBot="1" x14ac:dyDescent="0.25">
      <c r="A365" s="376"/>
      <c r="B365" s="25"/>
      <c r="C365" s="25"/>
      <c r="D365" s="25"/>
      <c r="E365" s="25"/>
      <c r="F365" s="242"/>
    </row>
    <row r="366" spans="1:10" s="2" customFormat="1" ht="15.95" customHeight="1" thickBot="1" x14ac:dyDescent="0.25">
      <c r="A366" s="384" t="str">
        <f>A360</f>
        <v>3.</v>
      </c>
      <c r="B366" s="49" t="s">
        <v>42</v>
      </c>
      <c r="C366" s="50"/>
      <c r="D366" s="50"/>
      <c r="E366" s="51"/>
      <c r="F366" s="238">
        <f>SUM(F364:F364)</f>
        <v>0</v>
      </c>
      <c r="G366" s="4"/>
      <c r="H366" s="3"/>
      <c r="I366" s="3"/>
      <c r="J366" s="3"/>
    </row>
    <row r="367" spans="1:10" s="2" customFormat="1" ht="15.95" customHeight="1" thickBot="1" x14ac:dyDescent="0.25">
      <c r="A367" s="385" t="s">
        <v>24</v>
      </c>
      <c r="B367" s="49" t="s">
        <v>52</v>
      </c>
      <c r="C367" s="50"/>
      <c r="D367" s="50"/>
      <c r="E367" s="60"/>
      <c r="F367" s="386"/>
      <c r="G367" s="4"/>
      <c r="H367" s="3"/>
      <c r="I367" s="3"/>
      <c r="J367" s="3"/>
    </row>
    <row r="368" spans="1:10" x14ac:dyDescent="0.2">
      <c r="A368" s="376"/>
      <c r="B368" s="25"/>
      <c r="C368" s="25"/>
      <c r="D368" s="25"/>
      <c r="E368" s="68"/>
      <c r="F368" s="242"/>
    </row>
    <row r="369" spans="1:7" ht="38.25" customHeight="1" x14ac:dyDescent="0.2">
      <c r="A369" s="213" t="s">
        <v>83</v>
      </c>
      <c r="B369" s="21" t="s">
        <v>325</v>
      </c>
      <c r="C369" s="25"/>
      <c r="D369" s="25"/>
      <c r="E369" s="25"/>
      <c r="F369" s="242"/>
    </row>
    <row r="370" spans="1:7" ht="25.5" customHeight="1" x14ac:dyDescent="0.2">
      <c r="A370" s="213"/>
      <c r="B370" s="82" t="s">
        <v>323</v>
      </c>
      <c r="C370" s="25"/>
      <c r="D370" s="25"/>
      <c r="E370" s="25"/>
      <c r="F370" s="242"/>
    </row>
    <row r="371" spans="1:7" x14ac:dyDescent="0.2">
      <c r="A371" s="376"/>
      <c r="B371" s="12" t="s">
        <v>322</v>
      </c>
      <c r="C371" s="25"/>
      <c r="D371" s="25"/>
      <c r="E371" s="25"/>
      <c r="F371" s="242"/>
      <c r="G371" s="84"/>
    </row>
    <row r="372" spans="1:7" ht="38.25" x14ac:dyDescent="0.2">
      <c r="A372" s="376"/>
      <c r="B372" s="20" t="s">
        <v>880</v>
      </c>
      <c r="C372" s="25"/>
      <c r="D372" s="25"/>
      <c r="E372" s="25"/>
      <c r="F372" s="242"/>
      <c r="G372" s="84"/>
    </row>
    <row r="373" spans="1:7" x14ac:dyDescent="0.2">
      <c r="A373" s="376"/>
      <c r="B373" s="12" t="s">
        <v>47</v>
      </c>
      <c r="C373" s="25"/>
      <c r="D373" s="25"/>
      <c r="E373" s="25"/>
      <c r="F373" s="242"/>
      <c r="G373" s="84"/>
    </row>
    <row r="374" spans="1:7" x14ac:dyDescent="0.2">
      <c r="A374" s="376"/>
      <c r="B374" s="25"/>
      <c r="C374" s="25"/>
      <c r="D374" s="25"/>
      <c r="E374" s="25"/>
      <c r="F374" s="242"/>
      <c r="G374" s="84"/>
    </row>
    <row r="375" spans="1:7" x14ac:dyDescent="0.2">
      <c r="A375" s="376"/>
      <c r="B375" s="25" t="s">
        <v>26</v>
      </c>
      <c r="C375" s="25"/>
      <c r="D375" s="25"/>
      <c r="E375" s="25"/>
      <c r="F375" s="242"/>
      <c r="G375" s="84"/>
    </row>
    <row r="376" spans="1:7" ht="63.75" x14ac:dyDescent="0.2">
      <c r="A376" s="376"/>
      <c r="B376" s="26" t="s">
        <v>1359</v>
      </c>
      <c r="C376" s="25"/>
      <c r="D376" s="64">
        <f>0.2*2.5*(5.375+2.95+5.17+5.1+5.45*2+2.7+1.65*2+2.48+2.1*2+3.95+3.28+5.75+2.87+3.22+2.95+2.48*2)-0.2*(1.8*1.6*5+0.9*2.457+1*1.6*18+1.8*1.6*6+1.8*1.6*2+1*0.6*2+1.4*2.4*2)</f>
        <v>19.303239999999992</v>
      </c>
      <c r="E376" s="25"/>
      <c r="F376" s="242"/>
      <c r="G376" s="84"/>
    </row>
    <row r="377" spans="1:7" x14ac:dyDescent="0.2">
      <c r="A377" s="376"/>
      <c r="B377" s="25"/>
      <c r="C377" s="25"/>
      <c r="D377" s="25"/>
      <c r="E377" s="25"/>
      <c r="F377" s="242"/>
      <c r="G377" s="84"/>
    </row>
    <row r="378" spans="1:7" x14ac:dyDescent="0.2">
      <c r="A378" s="376"/>
      <c r="B378" s="25" t="s">
        <v>898</v>
      </c>
      <c r="C378" s="25"/>
      <c r="D378" s="25"/>
      <c r="E378" s="25"/>
      <c r="F378" s="242"/>
      <c r="G378" s="84"/>
    </row>
    <row r="379" spans="1:7" ht="63.75" x14ac:dyDescent="0.2">
      <c r="A379" s="376"/>
      <c r="B379" s="26" t="s">
        <v>1360</v>
      </c>
      <c r="C379" s="25"/>
      <c r="D379" s="64">
        <f>0.2*2.5*(5.375+2.95+5.17+5.1+5.45*2+2.7+1.65*2+2.48+2.1*2+3.95+3.28+5.75+2.87+3.22+2.95+2.48*2)-0.2*(1.8*1.6*6+0.9*2.4*6+1*1.6*19+1.8*1.6*8+1*0.6*2+1.4*2.4*2)</f>
        <v>16.25749999999999</v>
      </c>
      <c r="E379" s="25"/>
      <c r="F379" s="242"/>
      <c r="G379" s="84"/>
    </row>
    <row r="380" spans="1:7" x14ac:dyDescent="0.2">
      <c r="A380" s="376"/>
      <c r="B380" s="25"/>
      <c r="C380" s="25"/>
      <c r="D380" s="25"/>
      <c r="E380" s="25"/>
      <c r="F380" s="242"/>
      <c r="G380" s="84"/>
    </row>
    <row r="381" spans="1:7" x14ac:dyDescent="0.2">
      <c r="A381" s="376"/>
      <c r="B381" s="25" t="s">
        <v>899</v>
      </c>
      <c r="C381" s="25"/>
      <c r="D381" s="25"/>
      <c r="E381" s="25"/>
      <c r="F381" s="242"/>
      <c r="G381" s="84"/>
    </row>
    <row r="382" spans="1:7" ht="63.75" x14ac:dyDescent="0.2">
      <c r="A382" s="376"/>
      <c r="B382" s="26" t="s">
        <v>1361</v>
      </c>
      <c r="C382" s="25"/>
      <c r="D382" s="64">
        <f>2*0.2*2.5*(5.375+2.95+5.17+5.1+5.45*2+2.7+1.65*2+2.48+2.1*2+3.95+3.28+5.75+2.87+3.22+2.95+2.48*2)-2*0.2*(1.8*1.6*6+0.9*2.4*6+1*1.6*19+1.8*1.6*8+1*0.6*2+1.4*2.4*2)</f>
        <v>32.514999999999979</v>
      </c>
      <c r="E382" s="25"/>
      <c r="F382" s="242"/>
      <c r="G382" s="84"/>
    </row>
    <row r="383" spans="1:7" x14ac:dyDescent="0.2">
      <c r="A383" s="376"/>
      <c r="B383" s="26"/>
      <c r="C383" s="25"/>
      <c r="D383" s="65"/>
      <c r="E383" s="25"/>
      <c r="F383" s="242"/>
      <c r="G383" s="84"/>
    </row>
    <row r="384" spans="1:7" x14ac:dyDescent="0.2">
      <c r="A384" s="376"/>
      <c r="B384" s="26" t="s">
        <v>909</v>
      </c>
      <c r="C384" s="25"/>
      <c r="D384" s="65"/>
      <c r="E384" s="25"/>
      <c r="F384" s="242"/>
      <c r="G384" s="84"/>
    </row>
    <row r="385" spans="1:7" ht="76.5" x14ac:dyDescent="0.2">
      <c r="A385" s="376"/>
      <c r="B385" s="26" t="s">
        <v>1362</v>
      </c>
      <c r="C385" s="25"/>
      <c r="D385" s="64">
        <f>0.2*(1.99*(3.95*2+6.09+1+3.72+2.95+0.6+2.56+0.375*2)+2.5*(8.17+5.37+2.657*2)+(2.5+1.99)/2*1.4*2+2.7*(2.95+2.7+2.95+2.9+3.3+3.1)-(1.8*1*8+1*0.6*2+1*1.6*8+1*1.05+1.8*1*2))</f>
        <v>23.917060000000003</v>
      </c>
      <c r="E385" s="25"/>
      <c r="F385" s="242"/>
      <c r="G385" s="84"/>
    </row>
    <row r="386" spans="1:7" x14ac:dyDescent="0.2">
      <c r="A386" s="376"/>
      <c r="B386" s="26"/>
      <c r="C386" s="25"/>
      <c r="D386" s="26"/>
      <c r="E386" s="25"/>
      <c r="F386" s="242"/>
    </row>
    <row r="387" spans="1:7" x14ac:dyDescent="0.2">
      <c r="A387" s="376"/>
      <c r="B387" s="25" t="s">
        <v>165</v>
      </c>
      <c r="C387" s="27" t="s">
        <v>39</v>
      </c>
      <c r="D387" s="25">
        <f>SUM(D369:D386)</f>
        <v>91.992799999999974</v>
      </c>
      <c r="E387" s="18"/>
      <c r="F387" s="215">
        <f>D387*E387</f>
        <v>0</v>
      </c>
      <c r="G387" s="178"/>
    </row>
    <row r="388" spans="1:7" x14ac:dyDescent="0.2">
      <c r="A388" s="376"/>
      <c r="B388" s="100"/>
      <c r="C388" s="25"/>
      <c r="D388" s="25"/>
      <c r="E388" s="25"/>
      <c r="F388" s="242"/>
    </row>
    <row r="389" spans="1:7" ht="38.25" x14ac:dyDescent="0.2">
      <c r="A389" s="213" t="s">
        <v>137</v>
      </c>
      <c r="B389" s="21" t="s">
        <v>326</v>
      </c>
      <c r="C389" s="25"/>
      <c r="D389" s="25"/>
      <c r="E389" s="25"/>
      <c r="F389" s="242"/>
    </row>
    <row r="390" spans="1:7" ht="25.5" x14ac:dyDescent="0.2">
      <c r="A390" s="213"/>
      <c r="B390" s="21" t="s">
        <v>323</v>
      </c>
      <c r="C390" s="25"/>
      <c r="D390" s="25"/>
      <c r="E390" s="25"/>
      <c r="F390" s="242"/>
    </row>
    <row r="391" spans="1:7" ht="39" thickBot="1" x14ac:dyDescent="0.25">
      <c r="A391" s="382"/>
      <c r="B391" s="291" t="s">
        <v>881</v>
      </c>
      <c r="C391" s="71"/>
      <c r="D391" s="71"/>
      <c r="E391" s="71"/>
      <c r="F391" s="380"/>
    </row>
    <row r="392" spans="1:7" x14ac:dyDescent="0.2">
      <c r="A392" s="213"/>
      <c r="B392" s="20"/>
      <c r="C392" s="25"/>
      <c r="D392" s="25"/>
      <c r="E392" s="25"/>
      <c r="F392" s="242"/>
    </row>
    <row r="393" spans="1:7" x14ac:dyDescent="0.2">
      <c r="A393" s="213"/>
      <c r="B393" s="12" t="s">
        <v>324</v>
      </c>
      <c r="C393" s="25"/>
      <c r="D393" s="25"/>
      <c r="E393" s="25"/>
      <c r="F393" s="242"/>
    </row>
    <row r="394" spans="1:7" x14ac:dyDescent="0.2">
      <c r="A394" s="376"/>
      <c r="B394" s="12" t="s">
        <v>47</v>
      </c>
      <c r="C394" s="25"/>
      <c r="D394" s="25"/>
      <c r="E394" s="25"/>
      <c r="F394" s="242"/>
      <c r="G394" s="84"/>
    </row>
    <row r="395" spans="1:7" x14ac:dyDescent="0.2">
      <c r="A395" s="376"/>
      <c r="B395" s="12"/>
      <c r="C395" s="25"/>
      <c r="D395" s="25"/>
      <c r="E395" s="25"/>
      <c r="F395" s="242"/>
      <c r="G395" s="84"/>
    </row>
    <row r="396" spans="1:7" x14ac:dyDescent="0.2">
      <c r="A396" s="376"/>
      <c r="B396" s="25" t="s">
        <v>26</v>
      </c>
      <c r="C396" s="25"/>
      <c r="D396" s="25"/>
      <c r="E396" s="25"/>
      <c r="F396" s="242"/>
    </row>
    <row r="397" spans="1:7" x14ac:dyDescent="0.2">
      <c r="A397" s="376"/>
      <c r="B397" s="26" t="s">
        <v>878</v>
      </c>
      <c r="C397" s="27" t="s">
        <v>39</v>
      </c>
      <c r="D397" s="25">
        <f>0.25*2.5*5.42</f>
        <v>3.3875000000000002</v>
      </c>
      <c r="E397" s="18"/>
      <c r="F397" s="215">
        <f>D397*E397</f>
        <v>0</v>
      </c>
      <c r="G397" s="178"/>
    </row>
    <row r="398" spans="1:7" x14ac:dyDescent="0.2">
      <c r="A398" s="376"/>
      <c r="B398" s="100"/>
      <c r="C398" s="25"/>
      <c r="D398" s="25"/>
      <c r="E398" s="25"/>
      <c r="F398" s="242"/>
    </row>
    <row r="399" spans="1:7" ht="38.25" x14ac:dyDescent="0.2">
      <c r="A399" s="213" t="s">
        <v>138</v>
      </c>
      <c r="B399" s="21" t="s">
        <v>327</v>
      </c>
      <c r="C399" s="25"/>
      <c r="D399" s="64"/>
      <c r="E399" s="25"/>
      <c r="F399" s="242"/>
    </row>
    <row r="400" spans="1:7" ht="25.5" x14ac:dyDescent="0.2">
      <c r="A400" s="213"/>
      <c r="B400" s="21" t="s">
        <v>328</v>
      </c>
      <c r="C400" s="25"/>
      <c r="D400" s="64"/>
      <c r="E400" s="25"/>
      <c r="F400" s="242"/>
    </row>
    <row r="401" spans="1:7" x14ac:dyDescent="0.2">
      <c r="A401" s="213"/>
      <c r="B401" s="21" t="s">
        <v>324</v>
      </c>
      <c r="C401" s="25"/>
      <c r="D401" s="64"/>
      <c r="E401" s="25"/>
      <c r="F401" s="242"/>
    </row>
    <row r="402" spans="1:7" x14ac:dyDescent="0.2">
      <c r="A402" s="376"/>
      <c r="B402" s="12" t="s">
        <v>47</v>
      </c>
      <c r="C402" s="25"/>
      <c r="D402" s="64"/>
      <c r="E402" s="25"/>
      <c r="F402" s="242"/>
    </row>
    <row r="403" spans="1:7" x14ac:dyDescent="0.2">
      <c r="A403" s="376"/>
      <c r="B403" s="12"/>
      <c r="C403" s="25"/>
      <c r="D403" s="64"/>
      <c r="E403" s="25"/>
      <c r="F403" s="242"/>
    </row>
    <row r="404" spans="1:7" x14ac:dyDescent="0.2">
      <c r="A404" s="376"/>
      <c r="B404" s="25" t="s">
        <v>26</v>
      </c>
      <c r="C404" s="25"/>
      <c r="D404" s="64"/>
      <c r="E404" s="25"/>
      <c r="F404" s="242"/>
    </row>
    <row r="405" spans="1:7" ht="51" x14ac:dyDescent="0.2">
      <c r="A405" s="376"/>
      <c r="B405" s="26" t="s">
        <v>938</v>
      </c>
      <c r="C405" s="25"/>
      <c r="D405" s="64">
        <f>0.25*(2.77*(5.75+5.32+2.15+3.26+3.38+1.78+2.5+2.95+1.65+2.95+2.15+5.78+2.28+2.33+2.29+1.65+6.37+4.22+3.75+5.73+5.375)-1*2.1*7)</f>
        <v>47.303387499999999</v>
      </c>
      <c r="E405" s="25"/>
      <c r="F405" s="242"/>
    </row>
    <row r="406" spans="1:7" x14ac:dyDescent="0.2">
      <c r="A406" s="376"/>
      <c r="B406" s="25"/>
      <c r="C406" s="25"/>
      <c r="D406" s="64"/>
      <c r="E406" s="25"/>
      <c r="F406" s="242"/>
    </row>
    <row r="407" spans="1:7" x14ac:dyDescent="0.2">
      <c r="A407" s="376"/>
      <c r="B407" s="25" t="s">
        <v>898</v>
      </c>
      <c r="C407" s="25"/>
      <c r="D407" s="64"/>
      <c r="E407" s="25"/>
      <c r="F407" s="242"/>
    </row>
    <row r="408" spans="1:7" ht="51" x14ac:dyDescent="0.2">
      <c r="A408" s="376"/>
      <c r="B408" s="26" t="s">
        <v>937</v>
      </c>
      <c r="C408" s="25"/>
      <c r="D408" s="64">
        <f>0.25*(2.77*(5.75+5.32+2.15+3.26+3.38+1.78+2.5+2.95+1.65+2.95+2.15+5.78+2.28+2.33+2.29+1.65+6.37+4.22+3.75+5.73)-1*2.1*8)</f>
        <v>43.056199999999997</v>
      </c>
      <c r="E408" s="25"/>
      <c r="F408" s="242"/>
    </row>
    <row r="409" spans="1:7" x14ac:dyDescent="0.2">
      <c r="A409" s="376"/>
      <c r="B409" s="25"/>
      <c r="C409" s="25"/>
      <c r="D409" s="25"/>
      <c r="E409" s="25"/>
      <c r="F409" s="242"/>
    </row>
    <row r="410" spans="1:7" x14ac:dyDescent="0.2">
      <c r="A410" s="376"/>
      <c r="B410" s="25" t="s">
        <v>899</v>
      </c>
      <c r="C410" s="25"/>
      <c r="D410" s="64"/>
      <c r="E410" s="25"/>
      <c r="F410" s="242"/>
    </row>
    <row r="411" spans="1:7" ht="51" x14ac:dyDescent="0.2">
      <c r="A411" s="376"/>
      <c r="B411" s="26" t="s">
        <v>939</v>
      </c>
      <c r="C411" s="25"/>
      <c r="D411" s="64">
        <f>2*0.25*(2.77*(5.75+5.32+2.15+3.26+3.38+1.78+2.5+2.95+1.65+2.95+2.15+5.78+2.28+2.33+2.29+1.65+6.37+4.22+3.75+5.73)-1*2.1*8)</f>
        <v>86.112399999999994</v>
      </c>
      <c r="E411" s="25"/>
      <c r="F411" s="242"/>
    </row>
    <row r="412" spans="1:7" x14ac:dyDescent="0.2">
      <c r="A412" s="376"/>
      <c r="B412" s="25"/>
      <c r="C412" s="25"/>
      <c r="D412" s="25"/>
      <c r="E412" s="25"/>
      <c r="F412" s="242"/>
    </row>
    <row r="413" spans="1:7" x14ac:dyDescent="0.2">
      <c r="A413" s="376"/>
      <c r="B413" s="25" t="s">
        <v>909</v>
      </c>
      <c r="C413" s="25"/>
      <c r="D413" s="25"/>
      <c r="E413" s="25"/>
      <c r="F413" s="242"/>
    </row>
    <row r="414" spans="1:7" ht="51" x14ac:dyDescent="0.2">
      <c r="A414" s="376"/>
      <c r="B414" s="26" t="s">
        <v>936</v>
      </c>
      <c r="C414" s="25"/>
      <c r="D414" s="64">
        <f>0.25*(2.7*(5.75+5.32+2.15+3.26+3.38+1.78+2.5+2.95+1.65+2.95+2.15+5.78+2.28+2.33+2.29+1.65)+(2.5+2.7)/2*(6.37+4.22+3.75)+(1.99+2.7)/2*5.75-1*2.1*8)</f>
        <v>41.006687499999998</v>
      </c>
      <c r="E414" s="25"/>
      <c r="F414" s="242"/>
    </row>
    <row r="415" spans="1:7" x14ac:dyDescent="0.2">
      <c r="A415" s="376"/>
      <c r="B415" s="25"/>
      <c r="C415" s="25"/>
      <c r="D415" s="25"/>
      <c r="E415" s="25"/>
      <c r="F415" s="242"/>
    </row>
    <row r="416" spans="1:7" x14ac:dyDescent="0.2">
      <c r="A416" s="376"/>
      <c r="B416" s="25" t="s">
        <v>329</v>
      </c>
      <c r="C416" s="27" t="s">
        <v>39</v>
      </c>
      <c r="D416" s="25">
        <f>SUM(D405:D415)</f>
        <v>217.47867500000001</v>
      </c>
      <c r="E416" s="18"/>
      <c r="F416" s="215">
        <f>D416*E416</f>
        <v>0</v>
      </c>
      <c r="G416" s="178"/>
    </row>
    <row r="417" spans="1:6" x14ac:dyDescent="0.2">
      <c r="A417" s="376"/>
      <c r="B417" s="25"/>
      <c r="C417" s="27"/>
      <c r="D417" s="25"/>
      <c r="E417" s="18"/>
      <c r="F417" s="215"/>
    </row>
    <row r="418" spans="1:6" ht="51" x14ac:dyDescent="0.2">
      <c r="A418" s="213" t="s">
        <v>90</v>
      </c>
      <c r="B418" s="20" t="s">
        <v>330</v>
      </c>
      <c r="C418" s="25"/>
      <c r="D418" s="25"/>
      <c r="E418" s="25"/>
      <c r="F418" s="242"/>
    </row>
    <row r="419" spans="1:6" ht="38.25" x14ac:dyDescent="0.2">
      <c r="A419" s="376"/>
      <c r="B419" s="20" t="s">
        <v>207</v>
      </c>
      <c r="C419" s="25"/>
      <c r="D419" s="25"/>
      <c r="E419" s="25"/>
      <c r="F419" s="242"/>
    </row>
    <row r="420" spans="1:6" ht="39" thickBot="1" x14ac:dyDescent="0.25">
      <c r="A420" s="388"/>
      <c r="B420" s="291" t="s">
        <v>342</v>
      </c>
      <c r="C420" s="71"/>
      <c r="D420" s="71"/>
      <c r="E420" s="71"/>
      <c r="F420" s="380"/>
    </row>
    <row r="421" spans="1:6" x14ac:dyDescent="0.2">
      <c r="A421" s="376"/>
      <c r="B421" s="20"/>
      <c r="C421" s="25"/>
      <c r="D421" s="25"/>
      <c r="E421" s="25"/>
      <c r="F421" s="242"/>
    </row>
    <row r="422" spans="1:6" ht="38.25" x14ac:dyDescent="0.2">
      <c r="A422" s="376"/>
      <c r="B422" s="138" t="s">
        <v>97</v>
      </c>
      <c r="C422" s="25"/>
      <c r="D422" s="25"/>
      <c r="E422" s="25"/>
      <c r="F422" s="242"/>
    </row>
    <row r="423" spans="1:6" x14ac:dyDescent="0.2">
      <c r="A423" s="376"/>
      <c r="B423" s="138"/>
      <c r="C423" s="25"/>
      <c r="D423" s="25"/>
      <c r="E423" s="25"/>
      <c r="F423" s="242"/>
    </row>
    <row r="424" spans="1:6" x14ac:dyDescent="0.2">
      <c r="A424" s="376"/>
      <c r="B424" s="25" t="s">
        <v>26</v>
      </c>
      <c r="C424" s="25"/>
      <c r="D424" s="25"/>
      <c r="E424" s="25"/>
      <c r="F424" s="242"/>
    </row>
    <row r="425" spans="1:6" ht="102" x14ac:dyDescent="0.2">
      <c r="A425" s="376"/>
      <c r="B425" s="26" t="s">
        <v>940</v>
      </c>
      <c r="C425" s="25"/>
      <c r="D425" s="64">
        <f>2.77*(4.725+2.475*2+3.68+1.43+0.62+3.14+1.42+0.61+0.65+2*2+4.03*2+2.895+0.92+4.17+0.95+1.66+2.82+2.27*2+2.45+2.15*2+2.3*2+0.7+4.07+3.9+2.15+4.57+3.075+2.2+2.375+2.27+0.7+1.75+2.8+1.75+2.32+2.08+3.9+4.57+2.15*2)+1.2*(2+2.35+1.1+1.43)-(0.9*2.05*9+0.8*2.05*16)</f>
        <v>275.84489999999994</v>
      </c>
      <c r="E425" s="25"/>
      <c r="F425" s="242"/>
    </row>
    <row r="426" spans="1:6" x14ac:dyDescent="0.2">
      <c r="A426" s="376"/>
      <c r="B426" s="25"/>
      <c r="C426" s="25"/>
      <c r="D426" s="25"/>
      <c r="E426" s="25"/>
      <c r="F426" s="242"/>
    </row>
    <row r="427" spans="1:6" x14ac:dyDescent="0.2">
      <c r="A427" s="376"/>
      <c r="B427" s="25" t="s">
        <v>898</v>
      </c>
      <c r="C427" s="25"/>
      <c r="D427" s="25"/>
      <c r="E427" s="25"/>
      <c r="F427" s="242"/>
    </row>
    <row r="428" spans="1:6" ht="102" x14ac:dyDescent="0.2">
      <c r="A428" s="376"/>
      <c r="B428" s="26" t="s">
        <v>941</v>
      </c>
      <c r="C428" s="25"/>
      <c r="D428" s="64">
        <f>2.77*(4.725+2.475*2+3.68+1.43+0.62+3.14+1.42+0.61+0.65+2*2+4.03*2+2.895+0.92+4.17+0.95+1.66+2.82+2.27*2+2.45+2.15*2+2.3*2+0.7+4.07+3.9+2.15+4.57+3.075+2.2+2.375+2.27+0.7+1.75+2.8+1.75+2.32+2.08+3.9+4.57+2.15*2+2.19+2.36+0.65)+1.2*(2+2.35+1.1+1.43)-(0.9*2.05*9+0.8*2.05*18)</f>
        <v>286.96890000000002</v>
      </c>
      <c r="E428" s="25"/>
      <c r="F428" s="242"/>
    </row>
    <row r="429" spans="1:6" x14ac:dyDescent="0.2">
      <c r="A429" s="376"/>
      <c r="B429" s="25"/>
      <c r="C429" s="25"/>
      <c r="D429" s="25"/>
      <c r="E429" s="25"/>
      <c r="F429" s="242"/>
    </row>
    <row r="430" spans="1:6" x14ac:dyDescent="0.2">
      <c r="A430" s="376"/>
      <c r="B430" s="25" t="s">
        <v>899</v>
      </c>
      <c r="C430" s="25"/>
      <c r="D430" s="25"/>
      <c r="E430" s="25"/>
      <c r="F430" s="242"/>
    </row>
    <row r="431" spans="1:6" s="82" customFormat="1" ht="102" x14ac:dyDescent="0.2">
      <c r="A431" s="376"/>
      <c r="B431" s="26" t="s">
        <v>942</v>
      </c>
      <c r="C431" s="25"/>
      <c r="D431" s="64">
        <f>2*(2.77*(4.725+2.475*2+3.68+1.43+0.62+3.14+1.42+0.61+0.65+2*2+4.03*2+2.895+0.92+4.17+0.95+1.66+2.82+2.27*2+2.45+2.15*2+2.3*2+0.7+4.07+3.9+2.15+4.57+3.075+2.2+2.375+2.27+0.7+1.75+2.8+1.75+2.32+2.08+3.9+4.57+2.15*2+2.19+2.36+0.65)+1.2*(2+2.35+1.1+1.43)-(0.9*2.05*9+0.8*2.05*18))</f>
        <v>573.93780000000004</v>
      </c>
      <c r="E431" s="25"/>
      <c r="F431" s="242"/>
    </row>
    <row r="432" spans="1:6" s="82" customFormat="1" x14ac:dyDescent="0.2">
      <c r="A432" s="376"/>
      <c r="B432" s="26"/>
      <c r="C432" s="25"/>
      <c r="D432" s="64"/>
      <c r="E432" s="25"/>
      <c r="F432" s="242"/>
    </row>
    <row r="433" spans="1:6" s="82" customFormat="1" x14ac:dyDescent="0.2">
      <c r="A433" s="376"/>
      <c r="B433" s="26" t="s">
        <v>909</v>
      </c>
      <c r="C433" s="25"/>
      <c r="D433" s="64"/>
      <c r="E433" s="25"/>
      <c r="F433" s="242"/>
    </row>
    <row r="434" spans="1:6" s="82" customFormat="1" ht="102" x14ac:dyDescent="0.2">
      <c r="A434" s="376"/>
      <c r="B434" s="26" t="s">
        <v>943</v>
      </c>
      <c r="C434" s="25"/>
      <c r="D434" s="64">
        <f>2.77*(2.475*2+1.43*2+1.89*2+0.62+1.42+2*2+0.61+0.65+2.895+5.9+1.61+1.65+1.61+1.65+2.2+2.18+0.7+1.75+2.78+2.27*2+3.06+2.2+2.06+2.15*2+2.2+2.18*3+2*2+2.45+2.02)+(2.5+2.77)/2*(3.45+2.6+3.52+3.57)+(2.77+1.99)/2*(4.03*2+3.95+3.81)+1.2*(2+2.35+1.1+1.43)-(0.9*2.05*9+0.8*2.05*18)</f>
        <v>248.20894999999996</v>
      </c>
      <c r="E434" s="25"/>
      <c r="F434" s="242"/>
    </row>
    <row r="435" spans="1:6" s="82" customFormat="1" x14ac:dyDescent="0.2">
      <c r="A435" s="376"/>
      <c r="B435" s="26"/>
      <c r="C435" s="25"/>
      <c r="D435" s="64"/>
      <c r="E435" s="25"/>
      <c r="F435" s="242"/>
    </row>
    <row r="436" spans="1:6" s="82" customFormat="1" ht="25.5" x14ac:dyDescent="0.2">
      <c r="A436" s="376"/>
      <c r="B436" s="26" t="s">
        <v>1064</v>
      </c>
      <c r="C436" s="25"/>
      <c r="D436" s="64"/>
      <c r="E436" s="25"/>
      <c r="F436" s="242"/>
    </row>
    <row r="437" spans="1:6" s="82" customFormat="1" x14ac:dyDescent="0.2">
      <c r="A437" s="376"/>
      <c r="B437" s="26" t="s">
        <v>1065</v>
      </c>
      <c r="C437" s="25"/>
      <c r="D437" s="26">
        <f>1.2*3*5</f>
        <v>18</v>
      </c>
      <c r="E437" s="25"/>
      <c r="F437" s="242"/>
    </row>
    <row r="438" spans="1:6" s="82" customFormat="1" x14ac:dyDescent="0.2">
      <c r="A438" s="376"/>
      <c r="B438" s="26"/>
      <c r="C438" s="25"/>
      <c r="D438" s="64"/>
      <c r="E438" s="25"/>
      <c r="F438" s="242"/>
    </row>
    <row r="439" spans="1:6" ht="13.5" thickBot="1" x14ac:dyDescent="0.25">
      <c r="A439" s="388"/>
      <c r="B439" s="71" t="s">
        <v>1464</v>
      </c>
      <c r="C439" s="91" t="s">
        <v>37</v>
      </c>
      <c r="D439" s="71">
        <f>SUM(D425:D438)</f>
        <v>1402.96055</v>
      </c>
      <c r="E439" s="92"/>
      <c r="F439" s="358">
        <f>D439*E439</f>
        <v>0</v>
      </c>
    </row>
    <row r="440" spans="1:6" x14ac:dyDescent="0.2">
      <c r="A440" s="376"/>
      <c r="B440" s="82"/>
      <c r="C440" s="27"/>
      <c r="D440" s="25"/>
      <c r="E440" s="12"/>
      <c r="F440" s="215"/>
    </row>
    <row r="441" spans="1:6" ht="38.25" x14ac:dyDescent="0.2">
      <c r="A441" s="213" t="s">
        <v>1465</v>
      </c>
      <c r="B441" s="82" t="s">
        <v>739</v>
      </c>
      <c r="C441" s="27"/>
      <c r="D441" s="25"/>
      <c r="E441" s="12"/>
      <c r="F441" s="215"/>
    </row>
    <row r="442" spans="1:6" ht="25.5" x14ac:dyDescent="0.2">
      <c r="A442" s="376"/>
      <c r="B442" s="82" t="s">
        <v>740</v>
      </c>
      <c r="C442" s="27"/>
      <c r="D442" s="25"/>
      <c r="E442" s="12"/>
      <c r="F442" s="215"/>
    </row>
    <row r="443" spans="1:6" ht="38.25" x14ac:dyDescent="0.2">
      <c r="A443" s="376"/>
      <c r="B443" s="82" t="s">
        <v>354</v>
      </c>
      <c r="C443" s="27"/>
      <c r="D443" s="25"/>
      <c r="E443" s="12"/>
      <c r="F443" s="215"/>
    </row>
    <row r="444" spans="1:6" x14ac:dyDescent="0.2">
      <c r="A444" s="376"/>
      <c r="B444" s="159" t="s">
        <v>40</v>
      </c>
      <c r="C444" s="27"/>
      <c r="D444" s="25"/>
      <c r="E444" s="12"/>
      <c r="F444" s="215"/>
    </row>
    <row r="445" spans="1:6" x14ac:dyDescent="0.2">
      <c r="A445" s="376"/>
      <c r="B445" s="10"/>
      <c r="C445" s="27"/>
      <c r="D445" s="25"/>
      <c r="E445" s="12"/>
      <c r="F445" s="215"/>
    </row>
    <row r="446" spans="1:6" x14ac:dyDescent="0.2">
      <c r="A446" s="376"/>
      <c r="B446" s="25" t="s">
        <v>26</v>
      </c>
      <c r="C446" s="25"/>
      <c r="D446" s="25"/>
      <c r="E446" s="23"/>
      <c r="F446" s="242"/>
    </row>
    <row r="447" spans="1:6" x14ac:dyDescent="0.2">
      <c r="A447" s="376"/>
      <c r="B447" s="26" t="s">
        <v>362</v>
      </c>
      <c r="C447" s="25"/>
      <c r="D447" s="65">
        <f>0.6*(1.65*5+1.78*2)</f>
        <v>7.0860000000000003</v>
      </c>
      <c r="E447" s="23"/>
      <c r="F447" s="242"/>
    </row>
    <row r="448" spans="1:6" x14ac:dyDescent="0.2">
      <c r="A448" s="376"/>
      <c r="B448" s="25"/>
      <c r="C448" s="25"/>
      <c r="D448" s="25"/>
      <c r="E448" s="23"/>
      <c r="F448" s="242"/>
    </row>
    <row r="449" spans="1:6" x14ac:dyDescent="0.2">
      <c r="A449" s="376"/>
      <c r="B449" s="25" t="s">
        <v>898</v>
      </c>
      <c r="C449" s="25"/>
      <c r="D449" s="25"/>
      <c r="E449" s="23"/>
      <c r="F449" s="242"/>
    </row>
    <row r="450" spans="1:6" x14ac:dyDescent="0.2">
      <c r="A450" s="376"/>
      <c r="B450" s="26" t="s">
        <v>363</v>
      </c>
      <c r="C450" s="25"/>
      <c r="D450" s="65">
        <f>0.6*(1.65*6+1.78*2)</f>
        <v>8.0759999999999987</v>
      </c>
      <c r="E450" s="23"/>
      <c r="F450" s="242"/>
    </row>
    <row r="451" spans="1:6" x14ac:dyDescent="0.2">
      <c r="A451" s="376"/>
      <c r="B451" s="25"/>
      <c r="C451" s="25"/>
      <c r="D451" s="25"/>
      <c r="E451" s="23"/>
      <c r="F451" s="242"/>
    </row>
    <row r="452" spans="1:6" x14ac:dyDescent="0.2">
      <c r="A452" s="376"/>
      <c r="B452" s="25" t="s">
        <v>899</v>
      </c>
      <c r="C452" s="25"/>
      <c r="D452" s="25"/>
      <c r="E452" s="23"/>
      <c r="F452" s="242"/>
    </row>
    <row r="453" spans="1:6" x14ac:dyDescent="0.2">
      <c r="A453" s="376"/>
      <c r="B453" s="26" t="s">
        <v>1018</v>
      </c>
      <c r="C453" s="25"/>
      <c r="D453" s="65">
        <f>0.6*(1.65*6+1.78*2)*2</f>
        <v>16.151999999999997</v>
      </c>
      <c r="E453" s="23"/>
      <c r="F453" s="242"/>
    </row>
    <row r="454" spans="1:6" x14ac:dyDescent="0.2">
      <c r="A454" s="376"/>
      <c r="B454" s="70"/>
      <c r="C454" s="25"/>
      <c r="D454" s="65"/>
      <c r="E454" s="23"/>
      <c r="F454" s="242"/>
    </row>
    <row r="455" spans="1:6" x14ac:dyDescent="0.2">
      <c r="A455" s="376"/>
      <c r="B455" s="70" t="s">
        <v>909</v>
      </c>
      <c r="C455" s="25"/>
      <c r="D455" s="65"/>
      <c r="E455" s="23"/>
      <c r="F455" s="242"/>
    </row>
    <row r="456" spans="1:6" x14ac:dyDescent="0.2">
      <c r="A456" s="376"/>
      <c r="B456" s="26" t="s">
        <v>363</v>
      </c>
      <c r="C456" s="25"/>
      <c r="D456" s="65">
        <f>0.6*(1.65*6+1.78*2)</f>
        <v>8.0759999999999987</v>
      </c>
      <c r="E456" s="23"/>
      <c r="F456" s="242"/>
    </row>
    <row r="457" spans="1:6" x14ac:dyDescent="0.2">
      <c r="A457" s="376"/>
      <c r="B457" s="82"/>
      <c r="C457" s="25"/>
      <c r="D457" s="25"/>
      <c r="E457" s="23"/>
      <c r="F457" s="242"/>
    </row>
    <row r="458" spans="1:6" x14ac:dyDescent="0.2">
      <c r="A458" s="376"/>
      <c r="B458" s="25" t="s">
        <v>208</v>
      </c>
      <c r="C458" s="27" t="s">
        <v>37</v>
      </c>
      <c r="D458" s="25">
        <f>SUM(D447:D457)</f>
        <v>39.389999999999993</v>
      </c>
      <c r="E458" s="12"/>
      <c r="F458" s="242">
        <f>D458*E458</f>
        <v>0</v>
      </c>
    </row>
    <row r="459" spans="1:6" s="82" customFormat="1" x14ac:dyDescent="0.2">
      <c r="A459" s="376"/>
      <c r="B459" s="25"/>
      <c r="C459" s="25"/>
      <c r="D459" s="25"/>
      <c r="E459" s="25"/>
      <c r="F459" s="242"/>
    </row>
    <row r="460" spans="1:6" s="82" customFormat="1" ht="25.5" x14ac:dyDescent="0.2">
      <c r="A460" s="213" t="s">
        <v>91</v>
      </c>
      <c r="B460" s="25" t="s">
        <v>343</v>
      </c>
      <c r="C460" s="25"/>
      <c r="D460" s="25"/>
      <c r="E460" s="23"/>
      <c r="F460" s="242"/>
    </row>
    <row r="461" spans="1:6" s="82" customFormat="1" ht="51" x14ac:dyDescent="0.2">
      <c r="A461" s="376"/>
      <c r="B461" s="25" t="s">
        <v>344</v>
      </c>
      <c r="C461" s="25"/>
      <c r="D461" s="25"/>
      <c r="E461" s="23"/>
      <c r="F461" s="242"/>
    </row>
    <row r="462" spans="1:6" s="82" customFormat="1" ht="51" x14ac:dyDescent="0.2">
      <c r="A462" s="376"/>
      <c r="B462" s="25" t="s">
        <v>345</v>
      </c>
      <c r="C462" s="25"/>
      <c r="D462" s="25"/>
      <c r="E462" s="23"/>
      <c r="F462" s="242"/>
    </row>
    <row r="463" spans="1:6" s="82" customFormat="1" ht="25.5" x14ac:dyDescent="0.2">
      <c r="A463" s="376"/>
      <c r="B463" s="25" t="s">
        <v>346</v>
      </c>
      <c r="C463" s="25"/>
      <c r="D463" s="25"/>
      <c r="E463" s="23"/>
      <c r="F463" s="242"/>
    </row>
    <row r="464" spans="1:6" s="82" customFormat="1" ht="76.5" x14ac:dyDescent="0.2">
      <c r="A464" s="376"/>
      <c r="B464" s="389" t="s">
        <v>347</v>
      </c>
      <c r="C464" s="25"/>
      <c r="D464" s="25"/>
      <c r="E464" s="23"/>
      <c r="F464" s="242"/>
    </row>
    <row r="465" spans="1:6" s="82" customFormat="1" ht="38.25" x14ac:dyDescent="0.2">
      <c r="A465" s="376"/>
      <c r="B465" s="1" t="s">
        <v>348</v>
      </c>
      <c r="C465" s="25"/>
      <c r="D465" s="25"/>
      <c r="E465" s="23"/>
      <c r="F465" s="242"/>
    </row>
    <row r="466" spans="1:6" s="82" customFormat="1" x14ac:dyDescent="0.2">
      <c r="A466" s="376"/>
      <c r="B466" s="389" t="s">
        <v>93</v>
      </c>
      <c r="C466" s="25"/>
      <c r="D466" s="25"/>
      <c r="E466" s="23"/>
      <c r="F466" s="242"/>
    </row>
    <row r="467" spans="1:6" s="82" customFormat="1" x14ac:dyDescent="0.2">
      <c r="A467" s="376"/>
      <c r="B467" s="25"/>
      <c r="C467" s="25"/>
      <c r="D467" s="25"/>
      <c r="E467" s="23"/>
      <c r="F467" s="242"/>
    </row>
    <row r="468" spans="1:6" s="82" customFormat="1" ht="13.5" thickBot="1" x14ac:dyDescent="0.25">
      <c r="A468" s="388"/>
      <c r="B468" s="285" t="s">
        <v>1363</v>
      </c>
      <c r="C468" s="91" t="s">
        <v>38</v>
      </c>
      <c r="D468" s="71">
        <f>2.77*16+2.77*19*3+2.58*19</f>
        <v>251.23000000000002</v>
      </c>
      <c r="E468" s="300"/>
      <c r="F468" s="380">
        <f>D468*E468</f>
        <v>0</v>
      </c>
    </row>
    <row r="469" spans="1:6" s="82" customFormat="1" x14ac:dyDescent="0.2">
      <c r="A469" s="376"/>
      <c r="B469" s="25"/>
      <c r="C469" s="25"/>
      <c r="D469" s="25"/>
      <c r="E469" s="25"/>
      <c r="F469" s="242"/>
    </row>
    <row r="470" spans="1:6" s="82" customFormat="1" ht="51" x14ac:dyDescent="0.2">
      <c r="A470" s="213" t="s">
        <v>92</v>
      </c>
      <c r="B470" s="82" t="s">
        <v>349</v>
      </c>
      <c r="C470" s="25"/>
      <c r="D470" s="25"/>
      <c r="E470" s="23"/>
      <c r="F470" s="242"/>
    </row>
    <row r="471" spans="1:6" s="82" customFormat="1" ht="38.25" x14ac:dyDescent="0.2">
      <c r="A471" s="213"/>
      <c r="B471" s="82" t="s">
        <v>350</v>
      </c>
      <c r="C471" s="25"/>
      <c r="D471" s="25"/>
      <c r="E471" s="23"/>
      <c r="F471" s="242"/>
    </row>
    <row r="472" spans="1:6" s="82" customFormat="1" ht="51" x14ac:dyDescent="0.2">
      <c r="A472" s="376"/>
      <c r="B472" s="82" t="s">
        <v>351</v>
      </c>
      <c r="C472" s="25"/>
      <c r="D472" s="25"/>
      <c r="E472" s="23"/>
      <c r="F472" s="242"/>
    </row>
    <row r="473" spans="1:6" s="82" customFormat="1" x14ac:dyDescent="0.2">
      <c r="A473" s="376"/>
      <c r="B473" s="159" t="s">
        <v>40</v>
      </c>
      <c r="C473" s="25"/>
      <c r="D473" s="25"/>
      <c r="E473" s="23"/>
      <c r="F473" s="242"/>
    </row>
    <row r="474" spans="1:6" s="82" customFormat="1" x14ac:dyDescent="0.2">
      <c r="A474" s="376"/>
      <c r="B474" s="65"/>
      <c r="C474" s="25"/>
      <c r="D474" s="25"/>
      <c r="E474" s="23"/>
      <c r="F474" s="242"/>
    </row>
    <row r="475" spans="1:6" s="82" customFormat="1" x14ac:dyDescent="0.2">
      <c r="A475" s="376"/>
      <c r="B475" s="88" t="s">
        <v>352</v>
      </c>
      <c r="C475" s="25"/>
      <c r="D475" s="25"/>
      <c r="E475" s="23"/>
      <c r="F475" s="242"/>
    </row>
    <row r="476" spans="1:6" s="82" customFormat="1" x14ac:dyDescent="0.2">
      <c r="A476" s="376"/>
      <c r="B476" s="25" t="s">
        <v>26</v>
      </c>
      <c r="C476" s="25"/>
      <c r="D476" s="25"/>
      <c r="E476" s="23"/>
      <c r="F476" s="242"/>
    </row>
    <row r="477" spans="1:6" s="82" customFormat="1" x14ac:dyDescent="0.2">
      <c r="A477" s="376"/>
      <c r="B477" s="26" t="s">
        <v>360</v>
      </c>
      <c r="C477" s="25"/>
      <c r="D477" s="65">
        <f>2.77*(1.65*2+1.4*2+1.4+1.65+1.4*4)</f>
        <v>40.857500000000002</v>
      </c>
      <c r="E477" s="23"/>
      <c r="F477" s="242"/>
    </row>
    <row r="478" spans="1:6" s="82" customFormat="1" x14ac:dyDescent="0.2">
      <c r="A478" s="376"/>
      <c r="B478" s="25"/>
      <c r="C478" s="25"/>
      <c r="D478" s="25"/>
      <c r="E478" s="23"/>
      <c r="F478" s="242"/>
    </row>
    <row r="479" spans="1:6" s="82" customFormat="1" x14ac:dyDescent="0.2">
      <c r="A479" s="376"/>
      <c r="B479" s="25" t="s">
        <v>898</v>
      </c>
      <c r="C479" s="25"/>
      <c r="D479" s="25"/>
      <c r="E479" s="23"/>
      <c r="F479" s="242"/>
    </row>
    <row r="480" spans="1:6" s="82" customFormat="1" x14ac:dyDescent="0.2">
      <c r="A480" s="376"/>
      <c r="B480" s="26" t="s">
        <v>361</v>
      </c>
      <c r="C480" s="25"/>
      <c r="D480" s="65">
        <f>2.77*(1.65*2+1.4*2+1.4*2+1.65+1.4*4)</f>
        <v>44.735499999999995</v>
      </c>
      <c r="E480" s="23"/>
      <c r="F480" s="242"/>
    </row>
    <row r="481" spans="1:7" s="82" customFormat="1" x14ac:dyDescent="0.2">
      <c r="A481" s="376"/>
      <c r="B481" s="25"/>
      <c r="C481" s="25"/>
      <c r="D481" s="25"/>
      <c r="E481" s="23"/>
      <c r="F481" s="242"/>
    </row>
    <row r="482" spans="1:7" s="82" customFormat="1" x14ac:dyDescent="0.2">
      <c r="A482" s="376"/>
      <c r="B482" s="25" t="s">
        <v>899</v>
      </c>
      <c r="C482" s="25"/>
      <c r="D482" s="25"/>
      <c r="E482" s="23"/>
      <c r="F482" s="242"/>
    </row>
    <row r="483" spans="1:7" s="82" customFormat="1" ht="25.5" x14ac:dyDescent="0.2">
      <c r="A483" s="376"/>
      <c r="B483" s="26" t="s">
        <v>1019</v>
      </c>
      <c r="C483" s="25"/>
      <c r="D483" s="65">
        <f>2.77*(1.65*2+1.4*2+1.4*2+1.65+1.4*4)*2</f>
        <v>89.470999999999989</v>
      </c>
      <c r="E483" s="23"/>
      <c r="F483" s="242"/>
    </row>
    <row r="484" spans="1:7" s="82" customFormat="1" x14ac:dyDescent="0.2">
      <c r="A484" s="376"/>
      <c r="B484" s="70"/>
      <c r="C484" s="25"/>
      <c r="D484" s="65"/>
      <c r="E484" s="23"/>
      <c r="F484" s="242"/>
    </row>
    <row r="485" spans="1:7" s="82" customFormat="1" x14ac:dyDescent="0.2">
      <c r="A485" s="376"/>
      <c r="B485" s="70" t="s">
        <v>909</v>
      </c>
      <c r="C485" s="25"/>
      <c r="D485" s="65"/>
      <c r="E485" s="23"/>
      <c r="F485" s="242"/>
    </row>
    <row r="486" spans="1:7" s="82" customFormat="1" x14ac:dyDescent="0.2">
      <c r="A486" s="376"/>
      <c r="B486" s="26" t="s">
        <v>361</v>
      </c>
      <c r="C486" s="25"/>
      <c r="D486" s="65">
        <f>2.77*(1.65*2+1.4*2+1.4*2+1.65+1.4*4)</f>
        <v>44.735499999999995</v>
      </c>
      <c r="E486" s="23"/>
      <c r="F486" s="242"/>
    </row>
    <row r="487" spans="1:7" s="82" customFormat="1" x14ac:dyDescent="0.2">
      <c r="A487" s="376"/>
      <c r="C487" s="25"/>
      <c r="D487" s="25"/>
      <c r="E487" s="23"/>
      <c r="F487" s="242"/>
      <c r="G487" s="181"/>
    </row>
    <row r="488" spans="1:7" s="82" customFormat="1" x14ac:dyDescent="0.2">
      <c r="A488" s="376"/>
      <c r="B488" s="25" t="s">
        <v>1466</v>
      </c>
      <c r="C488" s="27" t="s">
        <v>37</v>
      </c>
      <c r="D488" s="25">
        <f>SUM(D477:D487)</f>
        <v>219.79949999999997</v>
      </c>
      <c r="E488" s="12"/>
      <c r="F488" s="242">
        <f>D488*E488</f>
        <v>0</v>
      </c>
    </row>
    <row r="489" spans="1:7" s="82" customFormat="1" x14ac:dyDescent="0.2">
      <c r="A489" s="376"/>
      <c r="B489" s="25"/>
      <c r="C489" s="25"/>
      <c r="D489" s="25"/>
      <c r="E489" s="25"/>
      <c r="F489" s="242"/>
    </row>
    <row r="490" spans="1:7" s="82" customFormat="1" ht="51" x14ac:dyDescent="0.2">
      <c r="A490" s="213" t="s">
        <v>139</v>
      </c>
      <c r="B490" s="82" t="s">
        <v>353</v>
      </c>
      <c r="C490" s="25"/>
      <c r="D490" s="25"/>
      <c r="E490" s="25"/>
      <c r="F490" s="242"/>
    </row>
    <row r="491" spans="1:7" s="82" customFormat="1" ht="38.25" x14ac:dyDescent="0.2">
      <c r="A491" s="213"/>
      <c r="B491" s="82" t="s">
        <v>350</v>
      </c>
      <c r="C491" s="25"/>
      <c r="D491" s="25"/>
      <c r="E491" s="25"/>
      <c r="F491" s="242"/>
    </row>
    <row r="492" spans="1:7" s="82" customFormat="1" ht="38.25" x14ac:dyDescent="0.2">
      <c r="A492" s="213"/>
      <c r="B492" s="82" t="s">
        <v>354</v>
      </c>
      <c r="C492" s="25"/>
      <c r="D492" s="25"/>
      <c r="E492" s="25"/>
      <c r="F492" s="242"/>
    </row>
    <row r="493" spans="1:7" s="82" customFormat="1" ht="25.5" x14ac:dyDescent="0.2">
      <c r="A493" s="213"/>
      <c r="B493" s="82" t="s">
        <v>355</v>
      </c>
      <c r="C493" s="25"/>
      <c r="D493" s="25"/>
      <c r="E493" s="25"/>
      <c r="F493" s="242"/>
    </row>
    <row r="494" spans="1:7" s="82" customFormat="1" ht="38.25" x14ac:dyDescent="0.2">
      <c r="A494" s="213"/>
      <c r="B494" s="82" t="s">
        <v>356</v>
      </c>
      <c r="C494" s="25"/>
      <c r="D494" s="25"/>
      <c r="E494" s="25"/>
      <c r="F494" s="242"/>
    </row>
    <row r="495" spans="1:7" s="82" customFormat="1" x14ac:dyDescent="0.2">
      <c r="A495" s="376"/>
      <c r="B495" s="159" t="s">
        <v>40</v>
      </c>
      <c r="C495" s="25"/>
      <c r="D495" s="25"/>
      <c r="E495" s="25"/>
      <c r="F495" s="242"/>
    </row>
    <row r="496" spans="1:7" s="82" customFormat="1" x14ac:dyDescent="0.2">
      <c r="A496" s="376"/>
      <c r="B496" s="25"/>
      <c r="C496" s="25"/>
      <c r="D496" s="25"/>
      <c r="E496" s="25"/>
      <c r="F496" s="242"/>
    </row>
    <row r="497" spans="1:14" s="82" customFormat="1" x14ac:dyDescent="0.2">
      <c r="A497" s="376"/>
      <c r="B497" s="88" t="s">
        <v>352</v>
      </c>
      <c r="C497" s="25"/>
      <c r="D497" s="25"/>
      <c r="E497" s="23"/>
      <c r="F497" s="242"/>
    </row>
    <row r="498" spans="1:14" s="82" customFormat="1" x14ac:dyDescent="0.2">
      <c r="A498" s="376"/>
      <c r="B498" s="25" t="s">
        <v>26</v>
      </c>
      <c r="C498" s="25"/>
      <c r="D498" s="25"/>
      <c r="E498" s="23"/>
      <c r="F498" s="242"/>
    </row>
    <row r="499" spans="1:14" s="82" customFormat="1" ht="26.25" thickBot="1" x14ac:dyDescent="0.25">
      <c r="A499" s="388"/>
      <c r="B499" s="285" t="s">
        <v>358</v>
      </c>
      <c r="C499" s="71"/>
      <c r="D499" s="288">
        <f>2.77*((0.72+0.37)*4+0.37+0.95+(0.59*0.37)*4+(0.8+0.42)*2+(0.65+0.37)*4+1.05*2)</f>
        <v>42.029764</v>
      </c>
      <c r="E499" s="300"/>
      <c r="F499" s="380"/>
    </row>
    <row r="500" spans="1:14" s="82" customFormat="1" x14ac:dyDescent="0.2">
      <c r="A500" s="376"/>
      <c r="B500" s="25"/>
      <c r="C500" s="25"/>
      <c r="D500" s="25"/>
      <c r="E500" s="23"/>
      <c r="F500" s="242"/>
    </row>
    <row r="501" spans="1:14" s="82" customFormat="1" x14ac:dyDescent="0.2">
      <c r="A501" s="376"/>
      <c r="B501" s="25" t="s">
        <v>898</v>
      </c>
      <c r="C501" s="25"/>
      <c r="D501" s="25"/>
      <c r="E501" s="23"/>
      <c r="F501" s="242"/>
    </row>
    <row r="502" spans="1:14" s="82" customFormat="1" ht="25.5" x14ac:dyDescent="0.2">
      <c r="A502" s="376"/>
      <c r="B502" s="26" t="s">
        <v>359</v>
      </c>
      <c r="C502" s="25"/>
      <c r="D502" s="65">
        <f>2.77*((0.72+0.37)*5+0.95+(0.59*0.37)*4+(0.8+0.42)*2+(0.65+0.37)*5+1.05*2)</f>
        <v>46.849564000000001</v>
      </c>
      <c r="E502" s="23"/>
      <c r="F502" s="242"/>
    </row>
    <row r="503" spans="1:14" s="82" customFormat="1" x14ac:dyDescent="0.2">
      <c r="A503" s="376"/>
      <c r="B503" s="25"/>
      <c r="C503" s="25"/>
      <c r="D503" s="25"/>
      <c r="E503" s="23"/>
      <c r="F503" s="242"/>
    </row>
    <row r="504" spans="1:14" s="82" customFormat="1" x14ac:dyDescent="0.2">
      <c r="A504" s="376"/>
      <c r="B504" s="25" t="s">
        <v>899</v>
      </c>
      <c r="C504" s="25"/>
      <c r="D504" s="25"/>
      <c r="E504" s="23"/>
      <c r="F504" s="242"/>
    </row>
    <row r="505" spans="1:14" s="82" customFormat="1" ht="25.5" x14ac:dyDescent="0.2">
      <c r="A505" s="376"/>
      <c r="B505" s="26" t="s">
        <v>945</v>
      </c>
      <c r="C505" s="25"/>
      <c r="D505" s="65">
        <f>2.77*((0.72+0.37)*5+0.95+(0.59*0.37)*4+(0.8+0.42)*2+(0.65+0.37)*5+1.05*2)*2</f>
        <v>93.699128000000002</v>
      </c>
      <c r="E505" s="23"/>
      <c r="F505" s="242"/>
    </row>
    <row r="506" spans="1:14" s="82" customFormat="1" x14ac:dyDescent="0.2">
      <c r="A506" s="376"/>
      <c r="B506" s="70"/>
      <c r="C506" s="25"/>
      <c r="D506" s="65"/>
      <c r="E506" s="23"/>
      <c r="F506" s="242"/>
    </row>
    <row r="507" spans="1:14" s="82" customFormat="1" x14ac:dyDescent="0.2">
      <c r="A507" s="376"/>
      <c r="B507" s="70" t="s">
        <v>944</v>
      </c>
      <c r="C507" s="25"/>
      <c r="D507" s="65"/>
      <c r="E507" s="23"/>
      <c r="F507" s="242"/>
    </row>
    <row r="508" spans="1:14" s="82" customFormat="1" ht="25.5" x14ac:dyDescent="0.2">
      <c r="A508" s="376"/>
      <c r="B508" s="26" t="s">
        <v>359</v>
      </c>
      <c r="C508" s="65"/>
      <c r="D508" s="64">
        <f>2.77*((0.72+0.37)*5+0.95+(0.59*0.37)*4+(0.8+0.42)*2+(0.65+0.37)*5+1.05*2)</f>
        <v>46.849564000000001</v>
      </c>
      <c r="E508" s="23"/>
      <c r="F508" s="242"/>
    </row>
    <row r="509" spans="1:14" s="82" customFormat="1" x14ac:dyDescent="0.2">
      <c r="A509" s="376"/>
      <c r="B509" s="26"/>
      <c r="C509" s="25"/>
      <c r="D509" s="25"/>
      <c r="E509" s="23"/>
      <c r="F509" s="242"/>
    </row>
    <row r="510" spans="1:14" s="82" customFormat="1" x14ac:dyDescent="0.2">
      <c r="A510" s="376"/>
      <c r="B510" s="25" t="s">
        <v>357</v>
      </c>
      <c r="C510" s="27" t="s">
        <v>37</v>
      </c>
      <c r="D510" s="25">
        <f>SUM(D499:D508)</f>
        <v>229.42802</v>
      </c>
      <c r="E510" s="12"/>
      <c r="F510" s="242">
        <f>D510*E510</f>
        <v>0</v>
      </c>
    </row>
    <row r="511" spans="1:14" s="82" customFormat="1" x14ac:dyDescent="0.2">
      <c r="A511" s="376"/>
      <c r="B511" s="25"/>
      <c r="C511" s="27"/>
      <c r="D511" s="25"/>
      <c r="E511" s="25"/>
      <c r="F511" s="395"/>
      <c r="H511" s="182"/>
      <c r="I511" s="83"/>
      <c r="J511" s="101"/>
      <c r="K511" s="11"/>
      <c r="M511" s="95"/>
      <c r="N511" s="8"/>
    </row>
    <row r="512" spans="1:14" s="82" customFormat="1" ht="51" x14ac:dyDescent="0.2">
      <c r="A512" s="213" t="s">
        <v>140</v>
      </c>
      <c r="B512" s="82" t="s">
        <v>1061</v>
      </c>
      <c r="C512" s="25"/>
      <c r="D512" s="25"/>
      <c r="E512" s="25"/>
      <c r="F512" s="395"/>
      <c r="H512" s="182"/>
      <c r="I512" s="83"/>
      <c r="J512" s="101"/>
      <c r="K512" s="11"/>
      <c r="M512" s="95"/>
      <c r="N512" s="8"/>
    </row>
    <row r="513" spans="1:14" s="82" customFormat="1" ht="25.5" x14ac:dyDescent="0.2">
      <c r="A513" s="376"/>
      <c r="B513" s="82" t="s">
        <v>364</v>
      </c>
      <c r="C513" s="25"/>
      <c r="D513" s="25"/>
      <c r="E513" s="25"/>
      <c r="F513" s="395"/>
      <c r="H513" s="182"/>
      <c r="I513" s="83"/>
      <c r="J513" s="101"/>
      <c r="K513" s="11"/>
      <c r="M513" s="95"/>
      <c r="N513" s="8"/>
    </row>
    <row r="514" spans="1:14" s="82" customFormat="1" ht="38.25" x14ac:dyDescent="0.2">
      <c r="A514" s="376"/>
      <c r="B514" s="82" t="s">
        <v>365</v>
      </c>
      <c r="C514" s="25"/>
      <c r="D514" s="25"/>
      <c r="E514" s="25"/>
      <c r="F514" s="395"/>
      <c r="H514" s="182"/>
      <c r="I514" s="83"/>
      <c r="J514" s="101"/>
      <c r="K514" s="11"/>
      <c r="M514" s="95"/>
      <c r="N514" s="8"/>
    </row>
    <row r="515" spans="1:14" s="82" customFormat="1" ht="25.5" x14ac:dyDescent="0.2">
      <c r="A515" s="376"/>
      <c r="B515" s="82" t="s">
        <v>366</v>
      </c>
      <c r="C515" s="25"/>
      <c r="D515" s="25"/>
      <c r="E515" s="25"/>
      <c r="F515" s="395"/>
      <c r="H515" s="182"/>
      <c r="I515" s="83"/>
      <c r="J515" s="101"/>
      <c r="K515" s="11"/>
      <c r="M515" s="95"/>
      <c r="N515" s="8"/>
    </row>
    <row r="516" spans="1:14" s="82" customFormat="1" ht="38.25" x14ac:dyDescent="0.2">
      <c r="A516" s="376"/>
      <c r="B516" s="82" t="s">
        <v>356</v>
      </c>
      <c r="C516" s="25"/>
      <c r="D516" s="25"/>
      <c r="E516" s="25"/>
      <c r="F516" s="395"/>
      <c r="H516" s="182"/>
      <c r="I516" s="83"/>
      <c r="J516" s="101"/>
      <c r="K516" s="11"/>
      <c r="M516" s="95"/>
      <c r="N516" s="8"/>
    </row>
    <row r="517" spans="1:14" s="82" customFormat="1" x14ac:dyDescent="0.2">
      <c r="A517" s="376"/>
      <c r="B517" s="159" t="s">
        <v>40</v>
      </c>
      <c r="C517" s="25"/>
      <c r="D517" s="25"/>
      <c r="E517" s="25"/>
      <c r="F517" s="395"/>
      <c r="H517" s="182"/>
      <c r="I517" s="83"/>
      <c r="J517" s="101"/>
      <c r="K517" s="11"/>
      <c r="M517" s="95"/>
      <c r="N517" s="8"/>
    </row>
    <row r="518" spans="1:14" s="82" customFormat="1" x14ac:dyDescent="0.2">
      <c r="A518" s="376"/>
      <c r="B518" s="10"/>
      <c r="C518" s="25"/>
      <c r="D518" s="25"/>
      <c r="E518" s="25"/>
      <c r="F518" s="395"/>
      <c r="H518" s="182"/>
      <c r="I518" s="83"/>
      <c r="J518" s="101"/>
      <c r="K518" s="11"/>
      <c r="M518" s="95"/>
      <c r="N518" s="8"/>
    </row>
    <row r="519" spans="1:14" s="82" customFormat="1" x14ac:dyDescent="0.2">
      <c r="A519" s="216" t="s">
        <v>1467</v>
      </c>
      <c r="B519" s="10" t="s">
        <v>1062</v>
      </c>
      <c r="C519" s="25"/>
      <c r="D519" s="25"/>
      <c r="E519" s="25"/>
      <c r="F519" s="395"/>
      <c r="H519" s="182"/>
      <c r="I519" s="83"/>
      <c r="J519" s="101"/>
      <c r="K519" s="11"/>
      <c r="M519" s="95"/>
      <c r="N519" s="8"/>
    </row>
    <row r="520" spans="1:14" s="82" customFormat="1" x14ac:dyDescent="0.2">
      <c r="A520" s="376"/>
      <c r="B520" s="97" t="s">
        <v>1063</v>
      </c>
      <c r="C520" s="27" t="s">
        <v>37</v>
      </c>
      <c r="D520" s="97">
        <f>2.77*(0.72*2+0.39+0.38)*4</f>
        <v>24.486799999999999</v>
      </c>
      <c r="E520" s="12"/>
      <c r="F520" s="242">
        <f>D520*E520</f>
        <v>0</v>
      </c>
      <c r="H520" s="182"/>
      <c r="I520" s="83"/>
      <c r="J520" s="101"/>
      <c r="K520" s="11"/>
      <c r="M520" s="95"/>
      <c r="N520" s="8"/>
    </row>
    <row r="521" spans="1:14" s="82" customFormat="1" x14ac:dyDescent="0.2">
      <c r="A521" s="376"/>
      <c r="B521" s="10"/>
      <c r="C521" s="25"/>
      <c r="D521" s="25"/>
      <c r="E521" s="25"/>
      <c r="F521" s="395"/>
      <c r="H521" s="182"/>
      <c r="I521" s="83"/>
      <c r="J521" s="101"/>
      <c r="K521" s="11"/>
      <c r="M521" s="95"/>
      <c r="N521" s="8"/>
    </row>
    <row r="522" spans="1:14" s="82" customFormat="1" ht="25.5" x14ac:dyDescent="0.2">
      <c r="A522" s="216" t="s">
        <v>1468</v>
      </c>
      <c r="B522" s="10" t="s">
        <v>1060</v>
      </c>
      <c r="C522" s="25"/>
      <c r="D522" s="25"/>
      <c r="E522" s="25"/>
      <c r="F522" s="395"/>
      <c r="H522" s="182"/>
      <c r="I522" s="83"/>
      <c r="J522" s="101"/>
      <c r="K522" s="11"/>
      <c r="M522" s="95"/>
      <c r="N522" s="8"/>
    </row>
    <row r="523" spans="1:14" s="82" customFormat="1" x14ac:dyDescent="0.2">
      <c r="A523" s="376"/>
      <c r="B523" s="10"/>
      <c r="C523" s="25"/>
      <c r="D523" s="25"/>
      <c r="E523" s="25"/>
      <c r="F523" s="395"/>
      <c r="H523" s="182"/>
      <c r="I523" s="83"/>
      <c r="J523" s="101"/>
      <c r="K523" s="11"/>
      <c r="M523" s="95"/>
      <c r="N523" s="8"/>
    </row>
    <row r="524" spans="1:14" s="82" customFormat="1" x14ac:dyDescent="0.2">
      <c r="A524" s="376"/>
      <c r="B524" s="25" t="s">
        <v>26</v>
      </c>
      <c r="C524" s="25"/>
      <c r="D524" s="25"/>
      <c r="E524" s="23"/>
      <c r="F524" s="242"/>
      <c r="H524" s="182"/>
      <c r="I524" s="83"/>
      <c r="J524" s="101"/>
      <c r="K524" s="11"/>
      <c r="M524" s="95"/>
      <c r="N524" s="8"/>
    </row>
    <row r="525" spans="1:14" s="82" customFormat="1" x14ac:dyDescent="0.2">
      <c r="A525" s="376"/>
      <c r="B525" s="26" t="s">
        <v>367</v>
      </c>
      <c r="C525" s="25"/>
      <c r="D525" s="65">
        <f>2.4*2.56-2.4*0.7</f>
        <v>4.4640000000000004</v>
      </c>
      <c r="E525" s="23"/>
      <c r="F525" s="242"/>
      <c r="H525" s="182"/>
      <c r="I525" s="83"/>
      <c r="J525" s="101"/>
      <c r="K525" s="11"/>
      <c r="M525" s="95"/>
      <c r="N525" s="8"/>
    </row>
    <row r="526" spans="1:14" s="82" customFormat="1" x14ac:dyDescent="0.2">
      <c r="A526" s="376"/>
      <c r="B526" s="25"/>
      <c r="C526" s="25"/>
      <c r="D526" s="25"/>
      <c r="E526" s="23"/>
      <c r="F526" s="242"/>
      <c r="H526" s="182"/>
      <c r="I526" s="83"/>
      <c r="J526" s="101"/>
      <c r="K526" s="11"/>
      <c r="M526" s="95"/>
      <c r="N526" s="8"/>
    </row>
    <row r="527" spans="1:14" s="82" customFormat="1" x14ac:dyDescent="0.2">
      <c r="A527" s="376"/>
      <c r="B527" s="25" t="s">
        <v>898</v>
      </c>
      <c r="C527" s="25"/>
      <c r="D527" s="25"/>
      <c r="E527" s="23"/>
      <c r="F527" s="242"/>
      <c r="H527" s="182"/>
      <c r="I527" s="83"/>
      <c r="J527" s="101"/>
      <c r="K527" s="11"/>
      <c r="M527" s="95"/>
      <c r="N527" s="8"/>
    </row>
    <row r="528" spans="1:14" s="82" customFormat="1" x14ac:dyDescent="0.2">
      <c r="A528" s="376"/>
      <c r="B528" s="26" t="s">
        <v>367</v>
      </c>
      <c r="C528" s="25"/>
      <c r="D528" s="65">
        <f>2.4*2.56-2.4*0.7</f>
        <v>4.4640000000000004</v>
      </c>
      <c r="E528" s="23"/>
      <c r="F528" s="242"/>
      <c r="H528" s="182"/>
      <c r="I528" s="83"/>
      <c r="J528" s="101"/>
      <c r="K528" s="11"/>
      <c r="M528" s="95"/>
      <c r="N528" s="8"/>
    </row>
    <row r="529" spans="1:14" s="82" customFormat="1" x14ac:dyDescent="0.2">
      <c r="A529" s="376"/>
      <c r="B529" s="25"/>
      <c r="C529" s="25"/>
      <c r="D529" s="25"/>
      <c r="E529" s="23"/>
      <c r="F529" s="242"/>
      <c r="H529" s="182"/>
      <c r="I529" s="83"/>
      <c r="J529" s="101"/>
      <c r="K529" s="11"/>
      <c r="M529" s="95"/>
      <c r="N529" s="8"/>
    </row>
    <row r="530" spans="1:14" s="82" customFormat="1" x14ac:dyDescent="0.2">
      <c r="A530" s="376"/>
      <c r="B530" s="25" t="s">
        <v>899</v>
      </c>
      <c r="C530" s="25"/>
      <c r="D530" s="25"/>
      <c r="E530" s="23"/>
      <c r="F530" s="242"/>
      <c r="H530" s="182"/>
      <c r="I530" s="83"/>
      <c r="J530" s="101"/>
      <c r="K530" s="11"/>
      <c r="M530" s="95"/>
      <c r="N530" s="8"/>
    </row>
    <row r="531" spans="1:14" s="82" customFormat="1" x14ac:dyDescent="0.2">
      <c r="A531" s="376"/>
      <c r="B531" s="26" t="s">
        <v>1020</v>
      </c>
      <c r="C531" s="25"/>
      <c r="D531" s="26">
        <f>2.4*2.56*3-2.4*0.7*2</f>
        <v>15.072000000000003</v>
      </c>
      <c r="E531" s="23"/>
      <c r="F531" s="242"/>
      <c r="H531" s="182"/>
      <c r="I531" s="83"/>
      <c r="J531" s="101"/>
      <c r="K531" s="11"/>
      <c r="M531" s="95"/>
      <c r="N531" s="8"/>
    </row>
    <row r="532" spans="1:14" s="82" customFormat="1" x14ac:dyDescent="0.2">
      <c r="A532" s="376"/>
      <c r="B532" s="70"/>
      <c r="C532" s="25"/>
      <c r="D532" s="26"/>
      <c r="E532" s="23"/>
      <c r="F532" s="242"/>
      <c r="H532" s="182"/>
      <c r="I532" s="83"/>
      <c r="J532" s="101"/>
      <c r="K532" s="11"/>
      <c r="M532" s="95"/>
      <c r="N532" s="8"/>
    </row>
    <row r="533" spans="1:14" s="82" customFormat="1" x14ac:dyDescent="0.2">
      <c r="A533" s="376"/>
      <c r="B533" s="70" t="s">
        <v>909</v>
      </c>
      <c r="C533" s="25"/>
      <c r="D533" s="26"/>
      <c r="E533" s="23"/>
      <c r="F533" s="242"/>
      <c r="H533" s="182"/>
      <c r="I533" s="83"/>
      <c r="J533" s="101"/>
      <c r="K533" s="11"/>
      <c r="M533" s="95"/>
      <c r="N533" s="8"/>
    </row>
    <row r="534" spans="1:14" s="82" customFormat="1" x14ac:dyDescent="0.2">
      <c r="A534" s="376"/>
      <c r="B534" s="26" t="s">
        <v>367</v>
      </c>
      <c r="C534" s="25"/>
      <c r="D534" s="65">
        <f>2.4*2.56-2.4*0.7</f>
        <v>4.4640000000000004</v>
      </c>
      <c r="E534" s="23"/>
      <c r="F534" s="242"/>
      <c r="H534" s="182"/>
      <c r="I534" s="83"/>
      <c r="J534" s="101"/>
      <c r="K534" s="11"/>
      <c r="M534" s="95"/>
      <c r="N534" s="8"/>
    </row>
    <row r="535" spans="1:14" x14ac:dyDescent="0.2">
      <c r="A535" s="376"/>
      <c r="B535" s="82"/>
      <c r="C535" s="25"/>
      <c r="D535" s="25"/>
      <c r="E535" s="23"/>
      <c r="F535" s="242"/>
    </row>
    <row r="536" spans="1:14" ht="13.5" thickBot="1" x14ac:dyDescent="0.25">
      <c r="A536" s="388"/>
      <c r="B536" s="71" t="s">
        <v>1469</v>
      </c>
      <c r="C536" s="91" t="s">
        <v>37</v>
      </c>
      <c r="D536" s="71">
        <f>SUM(D525:D535)</f>
        <v>28.464000000000006</v>
      </c>
      <c r="E536" s="92"/>
      <c r="F536" s="380">
        <f>D536*E536</f>
        <v>0</v>
      </c>
    </row>
    <row r="537" spans="1:14" x14ac:dyDescent="0.2">
      <c r="A537" s="376"/>
      <c r="B537" s="25"/>
      <c r="C537" s="27"/>
      <c r="D537" s="25"/>
      <c r="E537" s="12"/>
      <c r="F537" s="242"/>
    </row>
    <row r="538" spans="1:14" ht="63.75" x14ac:dyDescent="0.2">
      <c r="A538" s="213" t="s">
        <v>168</v>
      </c>
      <c r="B538" s="25" t="s">
        <v>368</v>
      </c>
      <c r="C538" s="27"/>
      <c r="D538" s="64"/>
      <c r="E538" s="23"/>
      <c r="F538" s="215"/>
    </row>
    <row r="539" spans="1:14" ht="51" x14ac:dyDescent="0.2">
      <c r="A539" s="376"/>
      <c r="B539" s="20" t="s">
        <v>369</v>
      </c>
      <c r="C539" s="27"/>
      <c r="D539" s="64"/>
      <c r="E539" s="23"/>
      <c r="F539" s="215"/>
    </row>
    <row r="540" spans="1:14" ht="38.25" x14ac:dyDescent="0.2">
      <c r="A540" s="376"/>
      <c r="B540" s="20" t="s">
        <v>370</v>
      </c>
      <c r="C540" s="27"/>
      <c r="D540" s="64"/>
      <c r="E540" s="23"/>
      <c r="F540" s="215"/>
    </row>
    <row r="541" spans="1:14" ht="38.25" x14ac:dyDescent="0.2">
      <c r="A541" s="376"/>
      <c r="B541" s="20" t="s">
        <v>371</v>
      </c>
      <c r="C541" s="27"/>
      <c r="D541" s="64"/>
      <c r="E541" s="23"/>
      <c r="F541" s="215"/>
    </row>
    <row r="542" spans="1:14" x14ac:dyDescent="0.2">
      <c r="A542" s="376"/>
      <c r="B542" s="1"/>
      <c r="C542" s="25"/>
      <c r="D542" s="64"/>
      <c r="E542" s="23"/>
      <c r="F542" s="215"/>
    </row>
    <row r="543" spans="1:14" ht="51" x14ac:dyDescent="0.2">
      <c r="A543" s="376"/>
      <c r="B543" s="26" t="s">
        <v>372</v>
      </c>
      <c r="C543" s="66" t="s">
        <v>100</v>
      </c>
      <c r="D543" s="64">
        <f>2.58*(0.76*4+0.53*2+1.14*2+0.53*2+0.89*10+0.59*10+0.84*2+0.66*2+0.81*10+0.53*10+0.77*4+0.66*4+1.29*2+1.19*2+0.53*4)</f>
        <v>132.71520000000001</v>
      </c>
      <c r="E543" s="12"/>
      <c r="F543" s="396">
        <f>D543*E543</f>
        <v>0</v>
      </c>
    </row>
    <row r="544" spans="1:14" x14ac:dyDescent="0.2">
      <c r="A544" s="376"/>
      <c r="B544" s="25"/>
      <c r="C544" s="27"/>
      <c r="D544" s="25"/>
      <c r="E544" s="12"/>
      <c r="F544" s="242"/>
    </row>
    <row r="545" spans="1:6" ht="38.25" x14ac:dyDescent="0.2">
      <c r="A545" s="213" t="s">
        <v>1470</v>
      </c>
      <c r="B545" s="65" t="s">
        <v>373</v>
      </c>
      <c r="C545" s="66"/>
      <c r="D545" s="25"/>
      <c r="E545" s="23"/>
      <c r="F545" s="242"/>
    </row>
    <row r="546" spans="1:6" ht="38.25" x14ac:dyDescent="0.2">
      <c r="A546" s="376"/>
      <c r="B546" s="65" t="s">
        <v>374</v>
      </c>
      <c r="C546" s="27"/>
      <c r="D546" s="65"/>
      <c r="E546" s="23"/>
      <c r="F546" s="242"/>
    </row>
    <row r="547" spans="1:6" ht="25.5" x14ac:dyDescent="0.2">
      <c r="A547" s="376"/>
      <c r="B547" s="26" t="s">
        <v>375</v>
      </c>
      <c r="C547" s="25"/>
      <c r="D547" s="25"/>
      <c r="E547" s="23"/>
      <c r="F547" s="242"/>
    </row>
    <row r="548" spans="1:6" x14ac:dyDescent="0.2">
      <c r="A548" s="376"/>
      <c r="B548" s="26"/>
      <c r="C548" s="25"/>
      <c r="D548" s="25"/>
      <c r="E548" s="12"/>
      <c r="F548" s="242">
        <f>D548*E548</f>
        <v>0</v>
      </c>
    </row>
    <row r="549" spans="1:6" ht="25.5" x14ac:dyDescent="0.2">
      <c r="A549" s="376"/>
      <c r="B549" s="26" t="s">
        <v>376</v>
      </c>
      <c r="C549" s="66" t="s">
        <v>31</v>
      </c>
      <c r="D549" s="230">
        <v>18</v>
      </c>
      <c r="E549" s="12"/>
      <c r="F549" s="396">
        <f>D549*E549</f>
        <v>0</v>
      </c>
    </row>
    <row r="550" spans="1:6" x14ac:dyDescent="0.2">
      <c r="A550" s="376"/>
      <c r="B550" s="64"/>
      <c r="C550" s="16"/>
      <c r="D550" s="19"/>
      <c r="E550" s="20"/>
      <c r="F550" s="214"/>
    </row>
    <row r="551" spans="1:6" s="82" customFormat="1" ht="51" x14ac:dyDescent="0.2">
      <c r="A551" s="213" t="s">
        <v>180</v>
      </c>
      <c r="B551" s="20" t="s">
        <v>377</v>
      </c>
      <c r="C551" s="41"/>
      <c r="D551" s="105"/>
      <c r="E551" s="25"/>
      <c r="F551" s="242"/>
    </row>
    <row r="552" spans="1:6" s="82" customFormat="1" ht="63.75" x14ac:dyDescent="0.2">
      <c r="A552" s="376"/>
      <c r="B552" s="20" t="s">
        <v>769</v>
      </c>
      <c r="C552" s="41"/>
      <c r="D552" s="105"/>
      <c r="E552" s="25"/>
      <c r="F552" s="242"/>
    </row>
    <row r="553" spans="1:6" s="82" customFormat="1" ht="26.25" customHeight="1" x14ac:dyDescent="0.2">
      <c r="A553" s="376"/>
      <c r="B553" s="20" t="s">
        <v>770</v>
      </c>
      <c r="C553" s="41"/>
      <c r="D553" s="105"/>
      <c r="E553" s="20"/>
      <c r="F553" s="214">
        <f>E553*D553</f>
        <v>0</v>
      </c>
    </row>
    <row r="554" spans="1:6" s="82" customFormat="1" ht="14.25" customHeight="1" x14ac:dyDescent="0.2">
      <c r="A554" s="376"/>
      <c r="B554" s="20"/>
      <c r="C554" s="41"/>
      <c r="D554" s="105"/>
      <c r="E554" s="20"/>
      <c r="F554" s="214"/>
    </row>
    <row r="555" spans="1:6" x14ac:dyDescent="0.2">
      <c r="A555" s="216" t="s">
        <v>1471</v>
      </c>
      <c r="B555" s="86" t="s">
        <v>378</v>
      </c>
      <c r="C555" s="66"/>
      <c r="D555" s="29"/>
      <c r="E555" s="23"/>
      <c r="F555" s="219"/>
    </row>
    <row r="556" spans="1:6" x14ac:dyDescent="0.2">
      <c r="A556" s="216"/>
      <c r="B556" s="65" t="s">
        <v>379</v>
      </c>
      <c r="C556" s="41"/>
      <c r="D556" s="105"/>
      <c r="E556" s="20"/>
      <c r="F556" s="214"/>
    </row>
    <row r="557" spans="1:6" x14ac:dyDescent="0.2">
      <c r="A557" s="216"/>
      <c r="B557" s="65"/>
      <c r="C557" s="41"/>
      <c r="D557" s="105"/>
      <c r="E557" s="20"/>
      <c r="F557" s="214"/>
    </row>
    <row r="558" spans="1:6" x14ac:dyDescent="0.2">
      <c r="A558" s="216"/>
      <c r="B558" s="25" t="s">
        <v>898</v>
      </c>
      <c r="C558" s="66"/>
      <c r="D558" s="29">
        <v>50.03</v>
      </c>
      <c r="E558" s="23"/>
      <c r="F558" s="219"/>
    </row>
    <row r="559" spans="1:6" x14ac:dyDescent="0.2">
      <c r="A559" s="216"/>
      <c r="B559" s="25"/>
      <c r="C559" s="66"/>
      <c r="D559" s="29"/>
      <c r="E559" s="23"/>
      <c r="F559" s="219"/>
    </row>
    <row r="560" spans="1:6" x14ac:dyDescent="0.2">
      <c r="A560" s="216"/>
      <c r="B560" s="25" t="s">
        <v>899</v>
      </c>
      <c r="C560" s="66"/>
      <c r="D560" s="29"/>
      <c r="E560" s="23"/>
      <c r="F560" s="219"/>
    </row>
    <row r="561" spans="1:6" ht="13.5" thickBot="1" x14ac:dyDescent="0.25">
      <c r="A561" s="397"/>
      <c r="B561" s="301" t="s">
        <v>999</v>
      </c>
      <c r="C561" s="302"/>
      <c r="D561" s="301">
        <f>50.03*2</f>
        <v>100.06</v>
      </c>
      <c r="E561" s="291"/>
      <c r="F561" s="383"/>
    </row>
    <row r="562" spans="1:6" x14ac:dyDescent="0.2">
      <c r="A562" s="398"/>
      <c r="B562" s="111"/>
      <c r="C562" s="41"/>
      <c r="D562" s="111"/>
      <c r="E562" s="20"/>
      <c r="F562" s="214"/>
    </row>
    <row r="563" spans="1:6" x14ac:dyDescent="0.2">
      <c r="A563" s="398"/>
      <c r="B563" s="111" t="s">
        <v>909</v>
      </c>
      <c r="C563" s="41"/>
      <c r="D563" s="29">
        <v>50.03</v>
      </c>
      <c r="E563" s="20"/>
      <c r="F563" s="214"/>
    </row>
    <row r="564" spans="1:6" x14ac:dyDescent="0.2">
      <c r="A564" s="398"/>
      <c r="B564" s="67"/>
      <c r="C564" s="41"/>
      <c r="D564" s="109"/>
      <c r="E564" s="12"/>
      <c r="F564" s="219"/>
    </row>
    <row r="565" spans="1:6" x14ac:dyDescent="0.2">
      <c r="A565" s="399"/>
      <c r="B565" s="67" t="s">
        <v>1472</v>
      </c>
      <c r="C565" s="41" t="s">
        <v>37</v>
      </c>
      <c r="D565" s="105">
        <f>SUM(D558:D564)</f>
        <v>200.12</v>
      </c>
      <c r="E565" s="20"/>
      <c r="F565" s="214">
        <f>E565*D565</f>
        <v>0</v>
      </c>
    </row>
    <row r="566" spans="1:6" x14ac:dyDescent="0.2">
      <c r="A566" s="376"/>
      <c r="B566" s="25"/>
      <c r="C566" s="27"/>
      <c r="D566" s="64"/>
      <c r="E566" s="30"/>
      <c r="F566" s="215"/>
    </row>
    <row r="567" spans="1:6" x14ac:dyDescent="0.2">
      <c r="A567" s="216" t="s">
        <v>1473</v>
      </c>
      <c r="B567" s="86" t="s">
        <v>380</v>
      </c>
      <c r="C567" s="16"/>
      <c r="D567" s="64"/>
      <c r="E567" s="20"/>
      <c r="F567" s="215"/>
    </row>
    <row r="568" spans="1:6" x14ac:dyDescent="0.2">
      <c r="A568" s="399"/>
      <c r="B568" s="65" t="s">
        <v>381</v>
      </c>
      <c r="C568" s="16"/>
      <c r="D568" s="64"/>
      <c r="E568" s="20"/>
      <c r="F568" s="215">
        <f>D568*E568</f>
        <v>0</v>
      </c>
    </row>
    <row r="569" spans="1:6" x14ac:dyDescent="0.2">
      <c r="A569" s="376"/>
      <c r="B569" s="26"/>
      <c r="C569" s="66"/>
      <c r="D569" s="29"/>
      <c r="E569" s="23"/>
      <c r="F569" s="219"/>
    </row>
    <row r="570" spans="1:6" x14ac:dyDescent="0.2">
      <c r="A570" s="376"/>
      <c r="B570" s="25" t="s">
        <v>26</v>
      </c>
      <c r="C570" s="16" t="s">
        <v>37</v>
      </c>
      <c r="D570" s="64">
        <v>23.7</v>
      </c>
      <c r="E570" s="20"/>
      <c r="F570" s="215">
        <f>D570*E570</f>
        <v>0</v>
      </c>
    </row>
    <row r="571" spans="1:6" x14ac:dyDescent="0.2">
      <c r="A571" s="376"/>
      <c r="B571" s="70"/>
      <c r="C571" s="66"/>
      <c r="D571" s="29"/>
      <c r="E571" s="23"/>
      <c r="F571" s="219"/>
    </row>
    <row r="572" spans="1:6" x14ac:dyDescent="0.2">
      <c r="A572" s="216" t="s">
        <v>1474</v>
      </c>
      <c r="B572" s="86" t="s">
        <v>383</v>
      </c>
      <c r="C572" s="66"/>
      <c r="D572" s="29"/>
      <c r="E572" s="23"/>
      <c r="F572" s="219"/>
    </row>
    <row r="573" spans="1:6" x14ac:dyDescent="0.2">
      <c r="A573" s="216"/>
      <c r="B573" s="65" t="s">
        <v>384</v>
      </c>
      <c r="C573" s="66"/>
      <c r="D573" s="29"/>
      <c r="E573" s="23"/>
      <c r="F573" s="219"/>
    </row>
    <row r="574" spans="1:6" x14ac:dyDescent="0.2">
      <c r="A574" s="376"/>
      <c r="B574" s="70"/>
      <c r="C574" s="66"/>
      <c r="D574" s="29"/>
      <c r="E574" s="23"/>
      <c r="F574" s="219"/>
    </row>
    <row r="575" spans="1:6" x14ac:dyDescent="0.2">
      <c r="A575" s="376"/>
      <c r="B575" s="25" t="s">
        <v>26</v>
      </c>
      <c r="C575" s="41"/>
      <c r="D575" s="105"/>
      <c r="E575" s="20"/>
      <c r="F575" s="214"/>
    </row>
    <row r="576" spans="1:6" x14ac:dyDescent="0.2">
      <c r="A576" s="376"/>
      <c r="B576" s="26" t="s">
        <v>385</v>
      </c>
      <c r="C576" s="41"/>
      <c r="D576" s="26">
        <f>3.51*5+4.1+4.22</f>
        <v>25.869999999999997</v>
      </c>
      <c r="E576" s="20"/>
      <c r="F576" s="214"/>
    </row>
    <row r="577" spans="1:6" x14ac:dyDescent="0.2">
      <c r="A577" s="376"/>
      <c r="B577" s="25"/>
      <c r="C577" s="41"/>
      <c r="D577" s="105"/>
      <c r="E577" s="20"/>
      <c r="F577" s="214"/>
    </row>
    <row r="578" spans="1:6" x14ac:dyDescent="0.2">
      <c r="A578" s="376"/>
      <c r="B578" s="25" t="s">
        <v>898</v>
      </c>
      <c r="C578" s="66"/>
      <c r="D578" s="29"/>
      <c r="E578" s="23"/>
      <c r="F578" s="219"/>
    </row>
    <row r="579" spans="1:6" x14ac:dyDescent="0.2">
      <c r="A579" s="376"/>
      <c r="B579" s="26" t="s">
        <v>385</v>
      </c>
      <c r="C579" s="41"/>
      <c r="D579" s="26">
        <f>3.51*5+4.1+4.22</f>
        <v>25.869999999999997</v>
      </c>
      <c r="E579" s="23"/>
      <c r="F579" s="219"/>
    </row>
    <row r="580" spans="1:6" x14ac:dyDescent="0.2">
      <c r="A580" s="376"/>
      <c r="B580" s="25"/>
      <c r="C580" s="66"/>
      <c r="D580" s="29"/>
      <c r="E580" s="23"/>
      <c r="F580" s="219"/>
    </row>
    <row r="581" spans="1:6" x14ac:dyDescent="0.2">
      <c r="A581" s="376"/>
      <c r="B581" s="25" t="s">
        <v>899</v>
      </c>
      <c r="C581" s="66"/>
      <c r="D581" s="29"/>
      <c r="E581" s="23"/>
      <c r="F581" s="219"/>
    </row>
    <row r="582" spans="1:6" x14ac:dyDescent="0.2">
      <c r="A582" s="376"/>
      <c r="B582" s="26" t="s">
        <v>1021</v>
      </c>
      <c r="C582" s="41"/>
      <c r="D582" s="111">
        <f>3.51*5*2+4.1*2+4.22*2</f>
        <v>51.739999999999995</v>
      </c>
      <c r="E582" s="20"/>
      <c r="F582" s="214"/>
    </row>
    <row r="583" spans="1:6" x14ac:dyDescent="0.2">
      <c r="A583" s="376"/>
      <c r="B583" s="26"/>
      <c r="C583" s="41"/>
      <c r="D583" s="111"/>
      <c r="E583" s="20"/>
      <c r="F583" s="214"/>
    </row>
    <row r="584" spans="1:6" x14ac:dyDescent="0.2">
      <c r="A584" s="376"/>
      <c r="B584" s="26" t="s">
        <v>909</v>
      </c>
      <c r="C584" s="41"/>
      <c r="D584" s="111"/>
      <c r="E584" s="20"/>
      <c r="F584" s="214"/>
    </row>
    <row r="585" spans="1:6" x14ac:dyDescent="0.2">
      <c r="A585" s="376"/>
      <c r="B585" s="26" t="s">
        <v>385</v>
      </c>
      <c r="C585" s="41"/>
      <c r="D585" s="26">
        <f>3.51*5+4.1+4.22</f>
        <v>25.869999999999997</v>
      </c>
      <c r="E585" s="20"/>
      <c r="F585" s="214"/>
    </row>
    <row r="586" spans="1:6" x14ac:dyDescent="0.2">
      <c r="A586" s="376"/>
      <c r="B586" s="67"/>
      <c r="C586" s="41"/>
      <c r="D586" s="109"/>
      <c r="E586" s="12"/>
      <c r="F586" s="219"/>
    </row>
    <row r="587" spans="1:6" x14ac:dyDescent="0.2">
      <c r="A587" s="376"/>
      <c r="B587" s="67" t="s">
        <v>1472</v>
      </c>
      <c r="C587" s="41" t="s">
        <v>37</v>
      </c>
      <c r="D587" s="105">
        <f>SUM(D576:D586)</f>
        <v>129.35</v>
      </c>
      <c r="E587" s="20"/>
      <c r="F587" s="214">
        <f>E587*D587</f>
        <v>0</v>
      </c>
    </row>
    <row r="588" spans="1:6" x14ac:dyDescent="0.2">
      <c r="A588" s="376"/>
      <c r="B588" s="70"/>
      <c r="C588" s="66"/>
      <c r="D588" s="29"/>
      <c r="E588" s="23"/>
      <c r="F588" s="219"/>
    </row>
    <row r="589" spans="1:6" ht="38.25" x14ac:dyDescent="0.2">
      <c r="A589" s="213" t="s">
        <v>181</v>
      </c>
      <c r="B589" s="400" t="s">
        <v>777</v>
      </c>
      <c r="C589" s="66"/>
      <c r="D589" s="29"/>
      <c r="E589" s="23"/>
      <c r="F589" s="219"/>
    </row>
    <row r="590" spans="1:6" ht="25.5" x14ac:dyDescent="0.2">
      <c r="A590" s="213"/>
      <c r="B590" s="381" t="s">
        <v>778</v>
      </c>
      <c r="C590" s="66"/>
      <c r="D590" s="29"/>
      <c r="E590" s="23"/>
      <c r="F590" s="219"/>
    </row>
    <row r="591" spans="1:6" s="82" customFormat="1" ht="38.25" x14ac:dyDescent="0.2">
      <c r="A591" s="213"/>
      <c r="B591" s="381" t="s">
        <v>779</v>
      </c>
      <c r="C591" s="66"/>
      <c r="D591" s="29"/>
      <c r="E591" s="23"/>
      <c r="F591" s="219"/>
    </row>
    <row r="592" spans="1:6" ht="25.5" x14ac:dyDescent="0.2">
      <c r="A592" s="213"/>
      <c r="B592" s="82" t="s">
        <v>334</v>
      </c>
      <c r="C592" s="66"/>
      <c r="D592" s="29"/>
      <c r="E592" s="23"/>
      <c r="F592" s="219"/>
    </row>
    <row r="593" spans="1:10" ht="25.5" x14ac:dyDescent="0.2">
      <c r="A593" s="213"/>
      <c r="B593" s="381" t="s">
        <v>225</v>
      </c>
      <c r="C593" s="66"/>
      <c r="D593" s="29"/>
      <c r="E593" s="23"/>
      <c r="F593" s="219"/>
    </row>
    <row r="594" spans="1:10" ht="25.5" x14ac:dyDescent="0.2">
      <c r="A594" s="213"/>
      <c r="B594" s="381" t="s">
        <v>386</v>
      </c>
      <c r="C594" s="66"/>
      <c r="D594" s="29"/>
      <c r="E594" s="23"/>
      <c r="F594" s="219"/>
    </row>
    <row r="595" spans="1:10" ht="51" x14ac:dyDescent="0.2">
      <c r="A595" s="213"/>
      <c r="B595" s="381" t="s">
        <v>780</v>
      </c>
      <c r="C595" s="66"/>
      <c r="D595" s="29"/>
      <c r="E595" s="23"/>
      <c r="F595" s="219"/>
    </row>
    <row r="596" spans="1:10" ht="25.5" x14ac:dyDescent="0.2">
      <c r="A596" s="376"/>
      <c r="B596" s="1" t="s">
        <v>387</v>
      </c>
      <c r="C596" s="66"/>
      <c r="D596" s="29"/>
      <c r="E596" s="23"/>
      <c r="F596" s="219"/>
    </row>
    <row r="597" spans="1:10" s="82" customFormat="1" ht="39" thickBot="1" x14ac:dyDescent="0.25">
      <c r="A597" s="388"/>
      <c r="B597" s="71" t="s">
        <v>781</v>
      </c>
      <c r="C597" s="290"/>
      <c r="D597" s="303"/>
      <c r="E597" s="300"/>
      <c r="F597" s="283"/>
    </row>
    <row r="598" spans="1:10" s="82" customFormat="1" x14ac:dyDescent="0.2">
      <c r="A598" s="376"/>
      <c r="B598" s="25"/>
      <c r="C598" s="66"/>
      <c r="D598" s="29"/>
      <c r="E598" s="23"/>
      <c r="F598" s="219"/>
    </row>
    <row r="599" spans="1:10" x14ac:dyDescent="0.2">
      <c r="A599" s="216" t="s">
        <v>182</v>
      </c>
      <c r="B599" s="15" t="s">
        <v>782</v>
      </c>
      <c r="C599" s="66"/>
      <c r="D599" s="29"/>
      <c r="E599" s="23"/>
      <c r="F599" s="219"/>
      <c r="G599" s="183"/>
      <c r="H599" s="29"/>
      <c r="I599" s="23"/>
      <c r="J599" s="34"/>
    </row>
    <row r="600" spans="1:10" ht="25.5" x14ac:dyDescent="0.2">
      <c r="A600" s="376"/>
      <c r="B600" s="25" t="s">
        <v>388</v>
      </c>
      <c r="C600" s="16"/>
      <c r="D600" s="19"/>
      <c r="E600" s="18"/>
      <c r="F600" s="219"/>
      <c r="G600" s="183"/>
      <c r="H600" s="29"/>
      <c r="I600" s="23"/>
      <c r="J600" s="34"/>
    </row>
    <row r="601" spans="1:10" x14ac:dyDescent="0.2">
      <c r="A601" s="376"/>
      <c r="B601" s="25"/>
      <c r="C601" s="16"/>
      <c r="D601" s="19"/>
      <c r="E601" s="18"/>
      <c r="F601" s="219"/>
      <c r="G601" s="183"/>
      <c r="H601" s="29"/>
      <c r="I601" s="23"/>
      <c r="J601" s="34"/>
    </row>
    <row r="602" spans="1:10" x14ac:dyDescent="0.2">
      <c r="A602" s="376"/>
      <c r="B602" s="25" t="s">
        <v>26</v>
      </c>
      <c r="C602" s="25"/>
      <c r="D602" s="65"/>
      <c r="E602" s="25"/>
      <c r="F602" s="215"/>
      <c r="G602" s="184"/>
      <c r="H602" s="90"/>
      <c r="I602" s="25"/>
      <c r="J602" s="33"/>
    </row>
    <row r="603" spans="1:10" ht="25.5" x14ac:dyDescent="0.2">
      <c r="A603" s="376"/>
      <c r="B603" s="26" t="s">
        <v>1364</v>
      </c>
      <c r="C603" s="25"/>
      <c r="D603" s="64">
        <f>53.14+5.11+5.03+4.48+4.18+4.63*2+4.36+11.22+2.96</f>
        <v>99.74</v>
      </c>
      <c r="E603" s="25"/>
      <c r="F603" s="215"/>
      <c r="G603" s="184"/>
      <c r="H603" s="90"/>
      <c r="I603" s="25"/>
      <c r="J603" s="33"/>
    </row>
    <row r="604" spans="1:10" x14ac:dyDescent="0.2">
      <c r="A604" s="376"/>
      <c r="B604" s="25"/>
      <c r="C604" s="25"/>
      <c r="D604" s="25"/>
      <c r="E604" s="25"/>
      <c r="F604" s="215"/>
      <c r="G604" s="179"/>
      <c r="H604" s="25"/>
      <c r="I604" s="25"/>
      <c r="J604" s="33"/>
    </row>
    <row r="605" spans="1:10" x14ac:dyDescent="0.2">
      <c r="A605" s="376"/>
      <c r="B605" s="25" t="s">
        <v>898</v>
      </c>
      <c r="C605" s="25"/>
      <c r="D605" s="25"/>
      <c r="E605" s="25"/>
      <c r="F605" s="215"/>
      <c r="G605" s="185"/>
      <c r="H605" s="25"/>
      <c r="I605" s="25"/>
      <c r="J605" s="33"/>
    </row>
    <row r="606" spans="1:10" x14ac:dyDescent="0.2">
      <c r="A606" s="376"/>
      <c r="B606" s="26" t="s">
        <v>391</v>
      </c>
      <c r="C606" s="25"/>
      <c r="D606" s="64">
        <f>4.63+4.17+4.28+6.14+5.04+4.48+4.29</f>
        <v>33.03</v>
      </c>
      <c r="E606" s="25"/>
      <c r="F606" s="215"/>
      <c r="G606" s="172"/>
      <c r="H606" s="26"/>
      <c r="I606" s="25"/>
      <c r="J606" s="33"/>
    </row>
    <row r="607" spans="1:10" s="82" customFormat="1" x14ac:dyDescent="0.2">
      <c r="A607" s="376"/>
      <c r="B607" s="25"/>
      <c r="C607" s="25"/>
      <c r="D607" s="64"/>
      <c r="E607" s="25"/>
      <c r="F607" s="215"/>
      <c r="G607" s="172"/>
      <c r="H607" s="64"/>
      <c r="I607" s="25"/>
      <c r="J607" s="33"/>
    </row>
    <row r="608" spans="1:10" x14ac:dyDescent="0.2">
      <c r="A608" s="376"/>
      <c r="B608" s="25" t="s">
        <v>899</v>
      </c>
      <c r="C608" s="25"/>
      <c r="D608" s="64"/>
      <c r="E608" s="25"/>
      <c r="F608" s="215"/>
      <c r="G608" s="179"/>
      <c r="H608" s="64"/>
      <c r="I608" s="30"/>
      <c r="J608" s="33"/>
    </row>
    <row r="609" spans="1:6" ht="25.5" x14ac:dyDescent="0.2">
      <c r="A609" s="376"/>
      <c r="B609" s="26" t="s">
        <v>1022</v>
      </c>
      <c r="C609" s="25"/>
      <c r="D609" s="64">
        <f>(4.63+4.17+4.28+6.14+5.04+4.48+4.29)*2</f>
        <v>66.06</v>
      </c>
      <c r="E609" s="25"/>
      <c r="F609" s="215"/>
    </row>
    <row r="610" spans="1:6" x14ac:dyDescent="0.2">
      <c r="A610" s="376"/>
      <c r="B610" s="26"/>
      <c r="C610" s="25"/>
      <c r="D610" s="64"/>
      <c r="E610" s="25"/>
      <c r="F610" s="215"/>
    </row>
    <row r="611" spans="1:6" x14ac:dyDescent="0.2">
      <c r="A611" s="376"/>
      <c r="B611" s="26" t="s">
        <v>909</v>
      </c>
      <c r="C611" s="25"/>
      <c r="D611" s="64"/>
      <c r="E611" s="25"/>
      <c r="F611" s="215"/>
    </row>
    <row r="612" spans="1:6" x14ac:dyDescent="0.2">
      <c r="A612" s="376"/>
      <c r="B612" s="26" t="s">
        <v>391</v>
      </c>
      <c r="C612" s="25"/>
      <c r="D612" s="64">
        <f>4.63+4.17+4.28+6.14+5.04+4.48+4.29</f>
        <v>33.03</v>
      </c>
      <c r="E612" s="25"/>
      <c r="F612" s="215"/>
    </row>
    <row r="613" spans="1:6" x14ac:dyDescent="0.2">
      <c r="A613" s="376"/>
      <c r="B613" s="26"/>
      <c r="C613" s="25"/>
      <c r="D613" s="64"/>
      <c r="E613" s="25"/>
      <c r="F613" s="215"/>
    </row>
    <row r="614" spans="1:6" x14ac:dyDescent="0.2">
      <c r="A614" s="376"/>
      <c r="B614" s="25" t="s">
        <v>183</v>
      </c>
      <c r="C614" s="16" t="s">
        <v>37</v>
      </c>
      <c r="D614" s="64">
        <f>SUM(D602:D613)</f>
        <v>231.85999999999999</v>
      </c>
      <c r="E614" s="20"/>
      <c r="F614" s="215">
        <f>D614*E614</f>
        <v>0</v>
      </c>
    </row>
    <row r="615" spans="1:6" x14ac:dyDescent="0.2">
      <c r="A615" s="376"/>
      <c r="B615" s="26"/>
      <c r="C615" s="66"/>
      <c r="D615" s="29"/>
      <c r="E615" s="23"/>
      <c r="F615" s="219"/>
    </row>
    <row r="616" spans="1:6" x14ac:dyDescent="0.2">
      <c r="A616" s="216" t="s">
        <v>213</v>
      </c>
      <c r="B616" s="15" t="s">
        <v>1365</v>
      </c>
      <c r="C616" s="66"/>
      <c r="D616" s="29"/>
      <c r="E616" s="23"/>
      <c r="F616" s="219"/>
    </row>
    <row r="617" spans="1:6" ht="25.5" x14ac:dyDescent="0.2">
      <c r="A617" s="376"/>
      <c r="B617" s="25" t="s">
        <v>1366</v>
      </c>
      <c r="C617" s="66"/>
      <c r="D617" s="29"/>
      <c r="E617" s="23"/>
      <c r="F617" s="219"/>
    </row>
    <row r="618" spans="1:6" x14ac:dyDescent="0.2">
      <c r="A618" s="376"/>
      <c r="B618" s="15"/>
      <c r="C618" s="66"/>
      <c r="D618" s="29"/>
      <c r="E618" s="23"/>
      <c r="F618" s="219"/>
    </row>
    <row r="619" spans="1:6" x14ac:dyDescent="0.2">
      <c r="A619" s="376"/>
      <c r="B619" s="25" t="s">
        <v>26</v>
      </c>
      <c r="C619" s="25"/>
      <c r="D619" s="25"/>
      <c r="E619" s="25"/>
      <c r="F619" s="215"/>
    </row>
    <row r="620" spans="1:6" ht="51" x14ac:dyDescent="0.2">
      <c r="A620" s="376"/>
      <c r="B620" s="26" t="s">
        <v>398</v>
      </c>
      <c r="C620" s="25"/>
      <c r="D620" s="65">
        <f>4.9+22.64+11.66*2+4.96+4.62+27.77+11.72+11.69+9.86+1.55+3.35+20.62+9.62+3.25+22.58+10.48+4.58*2+27.37*2+12.64*2+2.74+22.56</f>
        <v>307.41000000000003</v>
      </c>
      <c r="E620" s="25"/>
      <c r="F620" s="215"/>
    </row>
    <row r="621" spans="1:6" x14ac:dyDescent="0.2">
      <c r="A621" s="376"/>
      <c r="B621" s="25"/>
      <c r="C621" s="25"/>
      <c r="D621" s="25"/>
      <c r="E621" s="25"/>
      <c r="F621" s="215"/>
    </row>
    <row r="622" spans="1:6" x14ac:dyDescent="0.2">
      <c r="A622" s="376"/>
      <c r="B622" s="25" t="s">
        <v>898</v>
      </c>
      <c r="C622" s="25"/>
      <c r="D622" s="25"/>
      <c r="E622" s="25"/>
      <c r="F622" s="215"/>
    </row>
    <row r="623" spans="1:6" ht="63.75" x14ac:dyDescent="0.2">
      <c r="A623" s="376"/>
      <c r="B623" s="26" t="s">
        <v>1367</v>
      </c>
      <c r="C623" s="25"/>
      <c r="D623" s="64">
        <f>4.6+27.37+12.64+4.75+22.3+11.36+10.16+1.02+4.6+27.37+12.64+3.13+22.68+4.94+22.65+11.66+11.64+3.97+5.94+26.84+11.38+11.69+9.6+1.42+3.35+20.62+9.62+3.13+22.58+10.48</f>
        <v>356.13000000000005</v>
      </c>
      <c r="E623" s="25"/>
      <c r="F623" s="215"/>
    </row>
    <row r="624" spans="1:6" s="82" customFormat="1" x14ac:dyDescent="0.2">
      <c r="A624" s="376"/>
      <c r="B624" s="25"/>
      <c r="C624" s="25"/>
      <c r="D624" s="64"/>
      <c r="E624" s="25"/>
      <c r="F624" s="215"/>
    </row>
    <row r="625" spans="1:6" x14ac:dyDescent="0.2">
      <c r="A625" s="376"/>
      <c r="B625" s="25" t="s">
        <v>899</v>
      </c>
      <c r="C625" s="25"/>
      <c r="D625" s="65"/>
      <c r="E625" s="25"/>
      <c r="F625" s="215"/>
    </row>
    <row r="626" spans="1:6" ht="63.75" x14ac:dyDescent="0.2">
      <c r="A626" s="376"/>
      <c r="B626" s="26" t="s">
        <v>1368</v>
      </c>
      <c r="C626" s="25"/>
      <c r="D626" s="64">
        <f>2*(4.6+27.37+12.64+4.75+22.3+11.36+10.16+1.02+4.6+27.37+12.64+3.13+22.68+4.94+22.65+11.66+11.64+3.97+5.94+26.84+11.38+11.69+9.6+1.42+3.35+20.62+9.62+3.13+22.58+10.48)</f>
        <v>712.2600000000001</v>
      </c>
      <c r="E626" s="25"/>
      <c r="F626" s="215"/>
    </row>
    <row r="627" spans="1:6" x14ac:dyDescent="0.2">
      <c r="A627" s="376"/>
      <c r="B627" s="26"/>
      <c r="C627" s="25"/>
      <c r="D627" s="64"/>
      <c r="E627" s="25"/>
      <c r="F627" s="215"/>
    </row>
    <row r="628" spans="1:6" x14ac:dyDescent="0.2">
      <c r="A628" s="376"/>
      <c r="B628" s="26" t="s">
        <v>909</v>
      </c>
      <c r="C628" s="25"/>
      <c r="D628" s="64"/>
      <c r="E628" s="25"/>
      <c r="F628" s="215"/>
    </row>
    <row r="629" spans="1:6" ht="63.75" x14ac:dyDescent="0.2">
      <c r="A629" s="376"/>
      <c r="B629" s="26" t="s">
        <v>1367</v>
      </c>
      <c r="C629" s="25"/>
      <c r="D629" s="64">
        <f>4.6+27.37+12.64+4.75+22.3+11.36+10.16+1.02+4.6+27.37+12.64+3.13+22.68+4.94+22.65+11.66+11.64+3.97+5.94+26.84+11.38+11.69+9.6+1.42+3.35+20.62+9.62+3.13+22.58+10.48</f>
        <v>356.13000000000005</v>
      </c>
      <c r="E629" s="25"/>
      <c r="F629" s="215"/>
    </row>
    <row r="630" spans="1:6" x14ac:dyDescent="0.2">
      <c r="A630" s="376"/>
      <c r="B630" s="26"/>
      <c r="C630" s="25"/>
      <c r="D630" s="64"/>
      <c r="E630" s="25"/>
      <c r="F630" s="215"/>
    </row>
    <row r="631" spans="1:6" ht="13.5" thickBot="1" x14ac:dyDescent="0.25">
      <c r="A631" s="388"/>
      <c r="B631" s="71" t="s">
        <v>1475</v>
      </c>
      <c r="C631" s="93" t="s">
        <v>37</v>
      </c>
      <c r="D631" s="292">
        <f>SUM(D620:D630)</f>
        <v>1731.9300000000003</v>
      </c>
      <c r="E631" s="291"/>
      <c r="F631" s="358">
        <f>D631*E631</f>
        <v>0</v>
      </c>
    </row>
    <row r="632" spans="1:6" x14ac:dyDescent="0.2">
      <c r="A632" s="376"/>
      <c r="B632" s="25"/>
      <c r="C632" s="27"/>
      <c r="D632" s="64"/>
      <c r="E632" s="30"/>
      <c r="F632" s="215"/>
    </row>
    <row r="633" spans="1:6" x14ac:dyDescent="0.2">
      <c r="A633" s="216" t="s">
        <v>382</v>
      </c>
      <c r="B633" s="200" t="s">
        <v>783</v>
      </c>
      <c r="C633" s="66"/>
      <c r="D633" s="29"/>
      <c r="E633" s="23"/>
      <c r="F633" s="219"/>
    </row>
    <row r="634" spans="1:6" x14ac:dyDescent="0.2">
      <c r="A634" s="376"/>
      <c r="B634" s="25" t="s">
        <v>389</v>
      </c>
      <c r="C634" s="25"/>
      <c r="D634" s="25"/>
      <c r="E634" s="25"/>
      <c r="F634" s="215"/>
    </row>
    <row r="635" spans="1:6" x14ac:dyDescent="0.2">
      <c r="A635" s="376"/>
      <c r="B635" s="26"/>
      <c r="C635" s="25"/>
      <c r="D635" s="103"/>
      <c r="E635" s="25"/>
      <c r="F635" s="215"/>
    </row>
    <row r="636" spans="1:6" x14ac:dyDescent="0.2">
      <c r="A636" s="376"/>
      <c r="B636" s="25" t="s">
        <v>898</v>
      </c>
      <c r="C636" s="16" t="s">
        <v>37</v>
      </c>
      <c r="D636" s="25">
        <v>1.46</v>
      </c>
      <c r="E636" s="20"/>
      <c r="F636" s="215">
        <f>D636*E636</f>
        <v>0</v>
      </c>
    </row>
    <row r="637" spans="1:6" x14ac:dyDescent="0.2">
      <c r="A637" s="376"/>
      <c r="B637" s="100"/>
      <c r="C637" s="25"/>
      <c r="D637" s="25"/>
      <c r="E637" s="25"/>
      <c r="F637" s="215"/>
    </row>
    <row r="638" spans="1:6" x14ac:dyDescent="0.2">
      <c r="A638" s="216" t="s">
        <v>1476</v>
      </c>
      <c r="B638" s="200" t="s">
        <v>785</v>
      </c>
      <c r="C638" s="41"/>
      <c r="D638" s="105"/>
      <c r="E638" s="30"/>
      <c r="F638" s="215"/>
    </row>
    <row r="639" spans="1:6" x14ac:dyDescent="0.2">
      <c r="A639" s="376"/>
      <c r="B639" s="25" t="s">
        <v>390</v>
      </c>
      <c r="C639" s="41"/>
      <c r="D639" s="105"/>
      <c r="E639" s="30"/>
      <c r="F639" s="215"/>
    </row>
    <row r="640" spans="1:6" x14ac:dyDescent="0.2">
      <c r="A640" s="376"/>
      <c r="B640" s="25"/>
      <c r="C640" s="41"/>
      <c r="D640" s="105"/>
      <c r="E640" s="30"/>
      <c r="F640" s="215"/>
    </row>
    <row r="641" spans="1:6" x14ac:dyDescent="0.2">
      <c r="A641" s="376"/>
      <c r="B641" s="25" t="s">
        <v>26</v>
      </c>
      <c r="C641" s="41"/>
      <c r="D641" s="105"/>
      <c r="E641" s="25"/>
      <c r="F641" s="215"/>
    </row>
    <row r="642" spans="1:6" ht="25.5" x14ac:dyDescent="0.2">
      <c r="A642" s="376"/>
      <c r="B642" s="26" t="s">
        <v>399</v>
      </c>
      <c r="C642" s="41"/>
      <c r="D642" s="105">
        <f>5.54+2.04+5.06+1.49+4*2+4.12*2+4.02</f>
        <v>34.39</v>
      </c>
      <c r="E642" s="25"/>
      <c r="F642" s="215"/>
    </row>
    <row r="643" spans="1:6" x14ac:dyDescent="0.2">
      <c r="A643" s="376"/>
      <c r="B643" s="25"/>
      <c r="C643" s="41"/>
      <c r="D643" s="105"/>
      <c r="E643" s="25"/>
      <c r="F643" s="215"/>
    </row>
    <row r="644" spans="1:6" x14ac:dyDescent="0.2">
      <c r="A644" s="376"/>
      <c r="B644" s="25" t="s">
        <v>898</v>
      </c>
      <c r="C644" s="41"/>
      <c r="D644" s="105"/>
      <c r="E644" s="25"/>
      <c r="F644" s="215"/>
    </row>
    <row r="645" spans="1:6" ht="25.5" x14ac:dyDescent="0.2">
      <c r="A645" s="376"/>
      <c r="B645" s="26" t="s">
        <v>392</v>
      </c>
      <c r="C645" s="41"/>
      <c r="D645" s="105">
        <f>4.12+4.36+4.15+5.11+2.04+5.05+1.49+4*2</f>
        <v>34.32</v>
      </c>
      <c r="E645" s="25"/>
      <c r="F645" s="215"/>
    </row>
    <row r="646" spans="1:6" x14ac:dyDescent="0.2">
      <c r="A646" s="376"/>
      <c r="B646" s="25"/>
      <c r="C646" s="41"/>
      <c r="D646" s="26"/>
      <c r="E646" s="25"/>
      <c r="F646" s="215"/>
    </row>
    <row r="647" spans="1:6" x14ac:dyDescent="0.2">
      <c r="A647" s="376"/>
      <c r="B647" s="25" t="s">
        <v>899</v>
      </c>
      <c r="C647" s="41"/>
      <c r="D647" s="105"/>
      <c r="E647" s="25"/>
      <c r="F647" s="215"/>
    </row>
    <row r="648" spans="1:6" ht="25.5" x14ac:dyDescent="0.2">
      <c r="A648" s="376"/>
      <c r="B648" s="26" t="s">
        <v>1023</v>
      </c>
      <c r="C648" s="41"/>
      <c r="D648" s="103">
        <f>(4.12+4.36+1.46+4.15+5.11+2.03+5.05+1.49+4*2)*2</f>
        <v>71.540000000000006</v>
      </c>
      <c r="E648" s="25"/>
      <c r="F648" s="215"/>
    </row>
    <row r="649" spans="1:6" x14ac:dyDescent="0.2">
      <c r="A649" s="376"/>
      <c r="B649" s="26"/>
      <c r="C649" s="41"/>
      <c r="D649" s="103"/>
      <c r="E649" s="25"/>
      <c r="F649" s="215"/>
    </row>
    <row r="650" spans="1:6" x14ac:dyDescent="0.2">
      <c r="A650" s="376"/>
      <c r="B650" s="26" t="s">
        <v>909</v>
      </c>
      <c r="C650" s="41"/>
      <c r="D650" s="105"/>
      <c r="E650" s="25"/>
      <c r="F650" s="215"/>
    </row>
    <row r="651" spans="1:6" ht="25.5" x14ac:dyDescent="0.2">
      <c r="A651" s="376"/>
      <c r="B651" s="26" t="s">
        <v>392</v>
      </c>
      <c r="C651" s="41"/>
      <c r="D651" s="105">
        <f>4.12+4.36+4.15+5.11+2.04+5.05+1.49+4*2</f>
        <v>34.32</v>
      </c>
      <c r="E651" s="25"/>
      <c r="F651" s="215"/>
    </row>
    <row r="652" spans="1:6" x14ac:dyDescent="0.2">
      <c r="A652" s="376"/>
      <c r="B652" s="67"/>
      <c r="C652" s="41"/>
      <c r="D652" s="105"/>
      <c r="E652" s="25"/>
      <c r="F652" s="215"/>
    </row>
    <row r="653" spans="1:6" x14ac:dyDescent="0.2">
      <c r="A653" s="376"/>
      <c r="B653" s="67" t="s">
        <v>1477</v>
      </c>
      <c r="C653" s="41" t="s">
        <v>37</v>
      </c>
      <c r="D653" s="105">
        <f>SUM(D642:D652)</f>
        <v>174.57</v>
      </c>
      <c r="E653" s="20"/>
      <c r="F653" s="215">
        <f>D653*E653</f>
        <v>0</v>
      </c>
    </row>
    <row r="654" spans="1:6" s="82" customFormat="1" x14ac:dyDescent="0.2">
      <c r="A654" s="376"/>
      <c r="B654" s="67"/>
      <c r="C654" s="41"/>
      <c r="D654" s="105"/>
      <c r="E654" s="30"/>
      <c r="F654" s="215"/>
    </row>
    <row r="655" spans="1:6" ht="89.25" x14ac:dyDescent="0.2">
      <c r="A655" s="213" t="s">
        <v>214</v>
      </c>
      <c r="B655" s="25" t="s">
        <v>393</v>
      </c>
      <c r="C655" s="25"/>
      <c r="D655" s="25"/>
      <c r="E655" s="25"/>
      <c r="F655" s="242"/>
    </row>
    <row r="656" spans="1:6" ht="51" x14ac:dyDescent="0.2">
      <c r="A656" s="376"/>
      <c r="B656" s="25" t="s">
        <v>163</v>
      </c>
      <c r="C656" s="25"/>
      <c r="D656" s="25"/>
      <c r="E656" s="25"/>
      <c r="F656" s="242"/>
    </row>
    <row r="657" spans="1:7" ht="51" x14ac:dyDescent="0.2">
      <c r="A657" s="376"/>
      <c r="B657" s="21" t="s">
        <v>394</v>
      </c>
      <c r="C657" s="25"/>
      <c r="D657" s="25"/>
      <c r="E657" s="25"/>
      <c r="F657" s="242"/>
    </row>
    <row r="658" spans="1:7" x14ac:dyDescent="0.2">
      <c r="A658" s="376"/>
      <c r="B658" s="21"/>
      <c r="C658" s="25"/>
      <c r="D658" s="25"/>
      <c r="E658" s="25"/>
      <c r="F658" s="242"/>
    </row>
    <row r="659" spans="1:7" x14ac:dyDescent="0.2">
      <c r="A659" s="216" t="s">
        <v>215</v>
      </c>
      <c r="B659" s="25" t="s">
        <v>53</v>
      </c>
      <c r="C659" s="25"/>
      <c r="D659" s="25"/>
      <c r="E659" s="25"/>
      <c r="F659" s="242"/>
    </row>
    <row r="660" spans="1:7" x14ac:dyDescent="0.2">
      <c r="A660" s="216"/>
      <c r="B660" s="25"/>
      <c r="C660" s="25"/>
      <c r="D660" s="25"/>
      <c r="E660" s="25"/>
      <c r="F660" s="242"/>
    </row>
    <row r="661" spans="1:7" x14ac:dyDescent="0.2">
      <c r="A661" s="216"/>
      <c r="B661" s="25" t="s">
        <v>26</v>
      </c>
      <c r="C661" s="25"/>
      <c r="D661" s="25"/>
      <c r="E661" s="25"/>
      <c r="F661" s="242"/>
    </row>
    <row r="662" spans="1:7" ht="90" thickBot="1" x14ac:dyDescent="0.25">
      <c r="A662" s="390"/>
      <c r="B662" s="285" t="s">
        <v>1369</v>
      </c>
      <c r="C662" s="71"/>
      <c r="D662" s="292">
        <f>2.77*(8.9+19.21+9.84+13.86+13.85+10.25+9.83+19.27+9.23+10.26+14.4+12.78+5.1+10.08+22.17+8.72+13.25+7.4+15.68+10.51+10.34*2+23.97*2+8.83*2+15.17*2+6.62+20.15+6.28+19.85+10.73)-((1.8*1.6+0.9*2.4)*5+1.5*2.1+1.5*2.35*2+1.5*2.05*2-3*10)</f>
        <v>1165.2568000000001</v>
      </c>
      <c r="E662" s="71"/>
      <c r="F662" s="380"/>
    </row>
    <row r="663" spans="1:7" x14ac:dyDescent="0.2">
      <c r="A663" s="216"/>
      <c r="B663" s="25"/>
      <c r="C663" s="25"/>
      <c r="D663" s="25"/>
      <c r="E663" s="25"/>
      <c r="F663" s="242"/>
    </row>
    <row r="664" spans="1:7" x14ac:dyDescent="0.2">
      <c r="A664" s="216"/>
      <c r="B664" s="25" t="s">
        <v>898</v>
      </c>
      <c r="C664" s="25"/>
      <c r="D664" s="25"/>
      <c r="E664" s="25"/>
      <c r="F664" s="242"/>
    </row>
    <row r="665" spans="1:7" ht="89.25" x14ac:dyDescent="0.2">
      <c r="A665" s="216"/>
      <c r="B665" s="26" t="s">
        <v>401</v>
      </c>
      <c r="C665" s="25"/>
      <c r="D665" s="65">
        <f>2.77*(8.9+19.21+9.84+13.86+13.85+10.25+9.83+19.27+9.23+10.26+14.4+12.78+5.1+10.08+22.17+8.72+13.25+7.4+15.68+10.51+10.34*2+23.97*2+8.83*2+15.17*2+4.04+19.95+6.54+13.54+13.75+4.04)-((1.8*1.6+0.9*2.5)*6+1.5*2.35*2+1.5*2.05*2-3*10)</f>
        <v>1157.9239000000002</v>
      </c>
      <c r="E665" s="25"/>
      <c r="F665" s="242"/>
    </row>
    <row r="666" spans="1:7" x14ac:dyDescent="0.2">
      <c r="A666" s="216"/>
      <c r="B666" s="25"/>
      <c r="C666" s="25"/>
      <c r="D666" s="25"/>
      <c r="E666" s="25"/>
      <c r="F666" s="242"/>
    </row>
    <row r="667" spans="1:7" x14ac:dyDescent="0.2">
      <c r="A667" s="216"/>
      <c r="B667" s="25" t="s">
        <v>899</v>
      </c>
      <c r="C667" s="25"/>
      <c r="D667" s="25"/>
      <c r="E667" s="25"/>
      <c r="F667" s="242"/>
    </row>
    <row r="668" spans="1:7" ht="102" x14ac:dyDescent="0.2">
      <c r="A668" s="216"/>
      <c r="B668" s="26" t="s">
        <v>1024</v>
      </c>
      <c r="C668" s="25"/>
      <c r="D668" s="65">
        <f>2.77*(8.9+19.21+9.84+13.86+13.85+10.25+9.83+19.27+9.23+10.26+14.4+12.78+5.1+10.08+22.17+8.72+13.25+7.4+15.68+10.51+10.34*2+23.97*2+8.83*2+15.17*2+4.04+19.95+6.54+13.54+13.75+4.04)*2-((1.8*1.6+0.9*2.5)*6+1.5*2.35*2+1.5*2.05*2-3*10)*2</f>
        <v>2315.8478000000005</v>
      </c>
      <c r="E668" s="25"/>
      <c r="F668" s="242"/>
      <c r="G668" s="186"/>
    </row>
    <row r="669" spans="1:7" x14ac:dyDescent="0.2">
      <c r="A669" s="376"/>
      <c r="B669" s="26"/>
      <c r="C669" s="25"/>
      <c r="D669" s="64"/>
      <c r="E669" s="25"/>
      <c r="F669" s="242"/>
    </row>
    <row r="670" spans="1:7" x14ac:dyDescent="0.2">
      <c r="A670" s="376"/>
      <c r="B670" s="26" t="s">
        <v>909</v>
      </c>
      <c r="C670" s="25"/>
      <c r="D670" s="64"/>
      <c r="E670" s="25"/>
      <c r="F670" s="242"/>
    </row>
    <row r="671" spans="1:7" ht="89.25" x14ac:dyDescent="0.2">
      <c r="A671" s="376"/>
      <c r="B671" s="26" t="s">
        <v>1025</v>
      </c>
      <c r="C671" s="25"/>
      <c r="D671" s="65">
        <f>2.42*(8.9+19.21+9.84+13.86+13.85+10.25+9.83+19.27+9.23+10.26+14.4+12.78+5.1+10.08+22.17+8.72+13.25+7.4+15.68+10.51+10.34*2+23.97*2+8.83*2+15.17*2+4.04+19.95+6.54+13.54+13.75+4.04)-((1.8*1.6+0.9*2.5)*6+1.5*2.35*2+1.5*2.05*2-3*10)</f>
        <v>1009.8494000000002</v>
      </c>
      <c r="E671" s="25"/>
      <c r="F671" s="242"/>
    </row>
    <row r="672" spans="1:7" x14ac:dyDescent="0.2">
      <c r="A672" s="376"/>
      <c r="B672" s="26"/>
      <c r="C672" s="25"/>
      <c r="D672" s="64"/>
      <c r="E672" s="25"/>
      <c r="F672" s="242"/>
    </row>
    <row r="673" spans="1:6" x14ac:dyDescent="0.2">
      <c r="A673" s="376"/>
      <c r="B673" s="25" t="s">
        <v>216</v>
      </c>
      <c r="C673" s="16" t="s">
        <v>37</v>
      </c>
      <c r="D673" s="64">
        <f>SUM(D658:D672)</f>
        <v>5648.8779000000004</v>
      </c>
      <c r="E673" s="12"/>
      <c r="F673" s="215">
        <f>E673*D673</f>
        <v>0</v>
      </c>
    </row>
    <row r="674" spans="1:6" x14ac:dyDescent="0.2">
      <c r="A674" s="234"/>
      <c r="B674" s="24"/>
      <c r="C674" s="16"/>
      <c r="D674" s="24"/>
      <c r="E674" s="25"/>
      <c r="F674" s="242"/>
    </row>
    <row r="675" spans="1:6" x14ac:dyDescent="0.2">
      <c r="A675" s="221" t="s">
        <v>217</v>
      </c>
      <c r="B675" s="65" t="s">
        <v>400</v>
      </c>
      <c r="C675" s="25"/>
      <c r="D675" s="25"/>
      <c r="E675" s="23"/>
      <c r="F675" s="242"/>
    </row>
    <row r="676" spans="1:6" x14ac:dyDescent="0.2">
      <c r="A676" s="216"/>
      <c r="B676" s="26"/>
      <c r="C676" s="25"/>
      <c r="D676" s="25"/>
      <c r="E676" s="23"/>
      <c r="F676" s="242"/>
    </row>
    <row r="677" spans="1:6" x14ac:dyDescent="0.2">
      <c r="A677" s="216"/>
      <c r="B677" s="25" t="s">
        <v>26</v>
      </c>
      <c r="C677" s="25"/>
      <c r="D677" s="25"/>
      <c r="E677" s="23"/>
      <c r="F677" s="242"/>
    </row>
    <row r="678" spans="1:6" ht="63.75" x14ac:dyDescent="0.2">
      <c r="A678" s="216"/>
      <c r="B678" s="26" t="s">
        <v>826</v>
      </c>
      <c r="C678" s="25"/>
      <c r="D678" s="65">
        <f>4.94+22.64+5.78+11.66+11.6+3.97+5.94+26.84+5.03+11.38+11.69+9.86+1.42+3.35+20.62+4.48+3.13+22.58+4.16+10.48+4.58+27.49+4.52+12.64+2.74+22.56+4.36+4.58+27.33+4.52+12.64+2.21+23.7</f>
        <v>355.4199999999999</v>
      </c>
      <c r="E678" s="23"/>
      <c r="F678" s="242"/>
    </row>
    <row r="679" spans="1:6" x14ac:dyDescent="0.2">
      <c r="A679" s="216"/>
      <c r="B679" s="26"/>
      <c r="C679" s="25"/>
      <c r="D679" s="65"/>
      <c r="E679" s="23"/>
      <c r="F679" s="242"/>
    </row>
    <row r="680" spans="1:6" x14ac:dyDescent="0.2">
      <c r="A680" s="216"/>
      <c r="B680" s="25" t="s">
        <v>898</v>
      </c>
      <c r="C680" s="25"/>
      <c r="D680" s="25"/>
      <c r="E680" s="23"/>
      <c r="F680" s="242"/>
    </row>
    <row r="681" spans="1:6" ht="77.25" thickBot="1" x14ac:dyDescent="0.25">
      <c r="A681" s="390"/>
      <c r="B681" s="285" t="s">
        <v>827</v>
      </c>
      <c r="C681" s="71"/>
      <c r="D681" s="288">
        <f>4.58+27.49+4.53+12.64+5.15+21.32+5.24+11.05+10.16+1.34+4.58+27.08+4.53+12.64+3.13+22.98+4.28+4.94+22.65+5.78+11.66+11.6+3.97+5.02+27.77+5.04+11.38+11.69+9.86+1.42+3.35+20.62+4.48+9.62+3.13+22.58+4.16+10.48</f>
        <v>393.92000000000007</v>
      </c>
      <c r="E681" s="300"/>
      <c r="F681" s="380"/>
    </row>
    <row r="682" spans="1:6" x14ac:dyDescent="0.2">
      <c r="A682" s="216"/>
      <c r="B682" s="25"/>
      <c r="C682" s="25"/>
      <c r="D682" s="25"/>
      <c r="E682" s="23"/>
      <c r="F682" s="242"/>
    </row>
    <row r="683" spans="1:6" x14ac:dyDescent="0.2">
      <c r="A683" s="216"/>
      <c r="B683" s="25" t="s">
        <v>899</v>
      </c>
      <c r="C683" s="25"/>
      <c r="D683" s="65"/>
      <c r="E683" s="23"/>
      <c r="F683" s="242"/>
    </row>
    <row r="684" spans="1:6" ht="76.5" x14ac:dyDescent="0.2">
      <c r="A684" s="216"/>
      <c r="B684" s="26" t="s">
        <v>1027</v>
      </c>
      <c r="C684" s="25"/>
      <c r="D684" s="65">
        <f>(4.58+27.49+4.53+12.64+5.15+21.32+5.24+11.05+10.16+1.34+4.58+27.08+4.53+12.64+3.13+22.98+4.28+4.94+22.65+5.78+11.66+11.6+3.97+5.02+27.77+5.04+11.38+11.69+9.86+1.42+3.35+20.62+4.48+9.62+3.13+22.58+4.16+10.48)*2</f>
        <v>787.84000000000015</v>
      </c>
      <c r="E684" s="23"/>
      <c r="F684" s="242"/>
    </row>
    <row r="685" spans="1:6" x14ac:dyDescent="0.2">
      <c r="A685" s="216"/>
      <c r="B685" s="26"/>
      <c r="C685" s="25"/>
      <c r="D685" s="65"/>
      <c r="E685" s="23"/>
      <c r="F685" s="242"/>
    </row>
    <row r="686" spans="1:6" x14ac:dyDescent="0.2">
      <c r="A686" s="216"/>
      <c r="B686" s="26" t="s">
        <v>909</v>
      </c>
      <c r="C686" s="25"/>
      <c r="D686" s="65"/>
      <c r="E686" s="23"/>
      <c r="F686" s="242"/>
    </row>
    <row r="687" spans="1:6" x14ac:dyDescent="0.2">
      <c r="A687" s="216"/>
      <c r="B687" s="26" t="s">
        <v>1026</v>
      </c>
      <c r="C687" s="25"/>
      <c r="D687" s="64">
        <f>380.43+80.01</f>
        <v>460.44</v>
      </c>
      <c r="E687" s="23"/>
      <c r="F687" s="242"/>
    </row>
    <row r="688" spans="1:6" x14ac:dyDescent="0.2">
      <c r="A688" s="376"/>
      <c r="B688" s="26"/>
      <c r="C688" s="25"/>
      <c r="D688" s="64"/>
      <c r="E688" s="23"/>
      <c r="F688" s="242"/>
    </row>
    <row r="689" spans="1:6" x14ac:dyDescent="0.2">
      <c r="A689" s="376"/>
      <c r="B689" s="25" t="s">
        <v>218</v>
      </c>
      <c r="C689" s="16" t="s">
        <v>37</v>
      </c>
      <c r="D689" s="64">
        <f>SUM(D678:D688)</f>
        <v>1997.6200000000001</v>
      </c>
      <c r="E689" s="12"/>
      <c r="F689" s="215">
        <f>E689*D689</f>
        <v>0</v>
      </c>
    </row>
    <row r="690" spans="1:6" x14ac:dyDescent="0.2">
      <c r="A690" s="234"/>
      <c r="B690" s="24"/>
      <c r="C690" s="16"/>
      <c r="D690" s="24"/>
      <c r="E690" s="25"/>
      <c r="F690" s="242"/>
    </row>
    <row r="691" spans="1:6" ht="102" x14ac:dyDescent="0.2">
      <c r="A691" s="213" t="s">
        <v>219</v>
      </c>
      <c r="B691" s="25" t="s">
        <v>743</v>
      </c>
      <c r="C691" s="25"/>
      <c r="D691" s="25"/>
      <c r="E691" s="23"/>
      <c r="F691" s="242"/>
    </row>
    <row r="692" spans="1:6" ht="51" x14ac:dyDescent="0.2">
      <c r="A692" s="213"/>
      <c r="B692" s="25" t="s">
        <v>163</v>
      </c>
      <c r="C692" s="25"/>
      <c r="D692" s="25"/>
      <c r="E692" s="23"/>
      <c r="F692" s="242"/>
    </row>
    <row r="693" spans="1:6" ht="51" x14ac:dyDescent="0.2">
      <c r="A693" s="376"/>
      <c r="B693" s="21" t="s">
        <v>394</v>
      </c>
      <c r="C693" s="25"/>
      <c r="D693" s="25"/>
      <c r="E693" s="23"/>
      <c r="F693" s="242"/>
    </row>
    <row r="694" spans="1:6" x14ac:dyDescent="0.2">
      <c r="A694" s="234"/>
      <c r="B694" s="24"/>
      <c r="C694" s="16"/>
      <c r="D694" s="24"/>
      <c r="E694" s="23"/>
      <c r="F694" s="242"/>
    </row>
    <row r="695" spans="1:6" x14ac:dyDescent="0.2">
      <c r="A695" s="234"/>
      <c r="B695" s="25" t="s">
        <v>26</v>
      </c>
      <c r="C695" s="25"/>
      <c r="D695" s="25"/>
      <c r="E695" s="23"/>
      <c r="F695" s="242"/>
    </row>
    <row r="696" spans="1:6" ht="25.5" x14ac:dyDescent="0.2">
      <c r="A696" s="234"/>
      <c r="B696" s="26" t="s">
        <v>744</v>
      </c>
      <c r="C696" s="25"/>
      <c r="D696" s="65">
        <f>2.77*(4.99+8.36+4.09+8.08+5.76*3+5.75+9.42)</f>
        <v>160.57689999999999</v>
      </c>
      <c r="E696" s="23"/>
      <c r="F696" s="242"/>
    </row>
    <row r="697" spans="1:6" x14ac:dyDescent="0.2">
      <c r="A697" s="234"/>
      <c r="B697" s="25"/>
      <c r="C697" s="25"/>
      <c r="D697" s="25"/>
      <c r="E697" s="23"/>
      <c r="F697" s="242"/>
    </row>
    <row r="698" spans="1:6" x14ac:dyDescent="0.2">
      <c r="A698" s="234"/>
      <c r="B698" s="25" t="s">
        <v>898</v>
      </c>
      <c r="C698" s="25"/>
      <c r="D698" s="25"/>
      <c r="E698" s="23"/>
      <c r="F698" s="242"/>
    </row>
    <row r="699" spans="1:6" ht="25.5" x14ac:dyDescent="0.2">
      <c r="A699" s="234"/>
      <c r="B699" s="26" t="s">
        <v>745</v>
      </c>
      <c r="C699" s="25"/>
      <c r="D699" s="65">
        <f>2.77*(4.99+8.36+4.09+8.08+5.76*3+5.75+9.42+4.15)</f>
        <v>172.07239999999999</v>
      </c>
      <c r="E699" s="23"/>
      <c r="F699" s="242"/>
    </row>
    <row r="700" spans="1:6" x14ac:dyDescent="0.2">
      <c r="A700" s="234"/>
      <c r="B700" s="25"/>
      <c r="C700" s="25"/>
      <c r="D700" s="25"/>
      <c r="E700" s="23"/>
      <c r="F700" s="242"/>
    </row>
    <row r="701" spans="1:6" x14ac:dyDescent="0.2">
      <c r="A701" s="234"/>
      <c r="B701" s="25" t="s">
        <v>899</v>
      </c>
      <c r="C701" s="25"/>
      <c r="D701" s="25"/>
      <c r="E701" s="23"/>
      <c r="F701" s="242"/>
    </row>
    <row r="702" spans="1:6" ht="25.5" x14ac:dyDescent="0.2">
      <c r="A702" s="234"/>
      <c r="B702" s="26" t="s">
        <v>1028</v>
      </c>
      <c r="C702" s="25"/>
      <c r="D702" s="65">
        <f>2.77*(4.99+8.36+4.09+8.08+5.76*3+5.75+9.42+4.15)*2</f>
        <v>344.14479999999998</v>
      </c>
      <c r="E702" s="23"/>
      <c r="F702" s="242"/>
    </row>
    <row r="703" spans="1:6" x14ac:dyDescent="0.2">
      <c r="A703" s="234"/>
      <c r="B703" s="24"/>
      <c r="C703" s="16"/>
      <c r="D703" s="24"/>
      <c r="E703" s="23"/>
      <c r="F703" s="242"/>
    </row>
    <row r="704" spans="1:6" x14ac:dyDescent="0.2">
      <c r="A704" s="234"/>
      <c r="B704" s="24" t="s">
        <v>909</v>
      </c>
      <c r="C704" s="16"/>
      <c r="D704" s="24"/>
      <c r="E704" s="23"/>
      <c r="F704" s="242"/>
    </row>
    <row r="705" spans="1:7" ht="25.5" x14ac:dyDescent="0.2">
      <c r="A705" s="234"/>
      <c r="B705" s="26" t="s">
        <v>745</v>
      </c>
      <c r="C705" s="25"/>
      <c r="D705" s="65">
        <f>2.77*(4.99+8.36+4.09+8.08+5.76*3+5.75+9.42+4.15)</f>
        <v>172.07239999999999</v>
      </c>
      <c r="E705" s="23"/>
      <c r="F705" s="242"/>
    </row>
    <row r="706" spans="1:7" x14ac:dyDescent="0.2">
      <c r="A706" s="234"/>
      <c r="B706" s="24"/>
      <c r="C706" s="16"/>
      <c r="D706" s="24"/>
      <c r="E706" s="23"/>
      <c r="F706" s="242"/>
    </row>
    <row r="707" spans="1:7" ht="13.5" thickBot="1" x14ac:dyDescent="0.25">
      <c r="A707" s="401"/>
      <c r="B707" s="71" t="s">
        <v>1478</v>
      </c>
      <c r="C707" s="93" t="s">
        <v>37</v>
      </c>
      <c r="D707" s="292">
        <f>SUM(D695:D706)</f>
        <v>848.86649999999997</v>
      </c>
      <c r="E707" s="92"/>
      <c r="F707" s="358">
        <f>E707*D707</f>
        <v>0</v>
      </c>
    </row>
    <row r="708" spans="1:7" x14ac:dyDescent="0.2">
      <c r="A708" s="234"/>
      <c r="B708" s="24"/>
      <c r="C708" s="16"/>
      <c r="D708" s="24"/>
      <c r="E708" s="25"/>
      <c r="F708" s="242"/>
    </row>
    <row r="709" spans="1:7" ht="38.25" x14ac:dyDescent="0.2">
      <c r="A709" s="234" t="s">
        <v>220</v>
      </c>
      <c r="B709" s="10" t="s">
        <v>396</v>
      </c>
      <c r="C709" s="16"/>
      <c r="D709" s="24"/>
      <c r="E709" s="25"/>
      <c r="F709" s="242"/>
    </row>
    <row r="710" spans="1:7" ht="63.75" x14ac:dyDescent="0.2">
      <c r="A710" s="234"/>
      <c r="B710" s="10" t="s">
        <v>397</v>
      </c>
      <c r="C710" s="16"/>
      <c r="D710" s="24"/>
      <c r="E710" s="25"/>
      <c r="F710" s="242"/>
    </row>
    <row r="711" spans="1:7" ht="51" x14ac:dyDescent="0.2">
      <c r="A711" s="234"/>
      <c r="B711" s="21" t="s">
        <v>394</v>
      </c>
      <c r="C711" s="16"/>
      <c r="D711" s="24"/>
      <c r="E711" s="25"/>
      <c r="F711" s="242"/>
    </row>
    <row r="712" spans="1:7" x14ac:dyDescent="0.2">
      <c r="A712" s="234"/>
      <c r="B712" s="24"/>
      <c r="C712" s="16"/>
      <c r="D712" s="24"/>
      <c r="E712" s="25"/>
      <c r="F712" s="242"/>
    </row>
    <row r="713" spans="1:7" x14ac:dyDescent="0.2">
      <c r="A713" s="234"/>
      <c r="B713" s="25" t="s">
        <v>26</v>
      </c>
      <c r="C713" s="25"/>
      <c r="D713" s="25"/>
      <c r="E713" s="23"/>
      <c r="F713" s="242"/>
    </row>
    <row r="714" spans="1:7" x14ac:dyDescent="0.2">
      <c r="A714" s="234"/>
      <c r="B714" s="26" t="s">
        <v>741</v>
      </c>
      <c r="C714" s="25"/>
      <c r="D714" s="65">
        <f>2.4*2.56</f>
        <v>6.1440000000000001</v>
      </c>
      <c r="E714" s="23"/>
      <c r="F714" s="242"/>
    </row>
    <row r="715" spans="1:7" x14ac:dyDescent="0.2">
      <c r="A715" s="234"/>
      <c r="B715" s="25"/>
      <c r="C715" s="25"/>
      <c r="D715" s="25"/>
      <c r="E715" s="23"/>
      <c r="F715" s="242"/>
    </row>
    <row r="716" spans="1:7" x14ac:dyDescent="0.2">
      <c r="A716" s="234"/>
      <c r="B716" s="25" t="s">
        <v>898</v>
      </c>
      <c r="C716" s="25"/>
      <c r="D716" s="25"/>
      <c r="E716" s="23"/>
      <c r="F716" s="242"/>
    </row>
    <row r="717" spans="1:7" x14ac:dyDescent="0.2">
      <c r="A717" s="234"/>
      <c r="B717" s="26" t="s">
        <v>741</v>
      </c>
      <c r="C717" s="25"/>
      <c r="D717" s="65">
        <f>2.4*2.56</f>
        <v>6.1440000000000001</v>
      </c>
      <c r="E717" s="23"/>
      <c r="F717" s="242"/>
    </row>
    <row r="718" spans="1:7" x14ac:dyDescent="0.2">
      <c r="A718" s="234"/>
      <c r="B718" s="25"/>
      <c r="C718" s="25"/>
      <c r="D718" s="25"/>
      <c r="E718" s="23"/>
      <c r="F718" s="242"/>
      <c r="G718" s="25"/>
    </row>
    <row r="719" spans="1:7" x14ac:dyDescent="0.2">
      <c r="A719" s="234"/>
      <c r="B719" s="25" t="s">
        <v>899</v>
      </c>
      <c r="C719" s="25"/>
      <c r="D719" s="25"/>
      <c r="E719" s="23"/>
      <c r="F719" s="242"/>
      <c r="G719" s="25"/>
    </row>
    <row r="720" spans="1:7" x14ac:dyDescent="0.2">
      <c r="A720" s="234"/>
      <c r="B720" s="26" t="s">
        <v>742</v>
      </c>
      <c r="C720" s="25"/>
      <c r="D720" s="26">
        <f>2.4*2.56*2</f>
        <v>12.288</v>
      </c>
      <c r="E720" s="23"/>
      <c r="F720" s="242"/>
      <c r="G720" s="25"/>
    </row>
    <row r="721" spans="1:7" x14ac:dyDescent="0.2">
      <c r="A721" s="234"/>
      <c r="B721" s="70"/>
      <c r="C721" s="25"/>
      <c r="D721" s="26"/>
      <c r="E721" s="23"/>
      <c r="F721" s="242"/>
      <c r="G721" s="25"/>
    </row>
    <row r="722" spans="1:7" x14ac:dyDescent="0.2">
      <c r="A722" s="234"/>
      <c r="B722" s="70" t="s">
        <v>909</v>
      </c>
      <c r="C722" s="25"/>
      <c r="D722" s="26"/>
      <c r="E722" s="23"/>
      <c r="F722" s="242"/>
      <c r="G722" s="16"/>
    </row>
    <row r="723" spans="1:7" x14ac:dyDescent="0.2">
      <c r="A723" s="234"/>
      <c r="B723" s="26" t="s">
        <v>741</v>
      </c>
      <c r="C723" s="25"/>
      <c r="D723" s="65">
        <f>2.4*2.56</f>
        <v>6.1440000000000001</v>
      </c>
      <c r="E723" s="23"/>
      <c r="F723" s="242"/>
      <c r="G723" s="25"/>
    </row>
    <row r="724" spans="1:7" x14ac:dyDescent="0.2">
      <c r="A724" s="234"/>
      <c r="B724" s="82"/>
      <c r="C724" s="25"/>
      <c r="D724" s="25"/>
      <c r="E724" s="23"/>
      <c r="F724" s="242"/>
      <c r="G724" s="25"/>
    </row>
    <row r="725" spans="1:7" x14ac:dyDescent="0.2">
      <c r="A725" s="234"/>
      <c r="B725" s="25" t="s">
        <v>395</v>
      </c>
      <c r="C725" s="27" t="s">
        <v>37</v>
      </c>
      <c r="D725" s="25">
        <f>SUM(D714:D724)</f>
        <v>30.72</v>
      </c>
      <c r="E725" s="12"/>
      <c r="F725" s="215">
        <f>E725*D725</f>
        <v>0</v>
      </c>
    </row>
    <row r="726" spans="1:7" x14ac:dyDescent="0.2">
      <c r="A726" s="234"/>
      <c r="B726" s="24"/>
      <c r="C726" s="16"/>
      <c r="D726" s="24"/>
      <c r="E726" s="25"/>
      <c r="F726" s="242"/>
    </row>
    <row r="727" spans="1:7" ht="63.75" x14ac:dyDescent="0.2">
      <c r="A727" s="234" t="s">
        <v>274</v>
      </c>
      <c r="B727" s="24" t="s">
        <v>402</v>
      </c>
      <c r="C727" s="16"/>
      <c r="D727" s="24"/>
      <c r="E727" s="25"/>
      <c r="F727" s="242"/>
    </row>
    <row r="728" spans="1:7" ht="25.5" x14ac:dyDescent="0.2">
      <c r="A728" s="234"/>
      <c r="B728" s="159" t="s">
        <v>403</v>
      </c>
      <c r="C728" s="16"/>
      <c r="D728" s="24"/>
      <c r="E728" s="25"/>
      <c r="F728" s="242"/>
    </row>
    <row r="729" spans="1:7" ht="38.25" x14ac:dyDescent="0.2">
      <c r="A729" s="234"/>
      <c r="B729" s="159" t="s">
        <v>404</v>
      </c>
      <c r="C729" s="16"/>
      <c r="D729" s="24"/>
      <c r="E729" s="25"/>
      <c r="F729" s="242"/>
    </row>
    <row r="730" spans="1:7" ht="51" x14ac:dyDescent="0.2">
      <c r="A730" s="234"/>
      <c r="B730" s="25" t="s">
        <v>163</v>
      </c>
      <c r="C730" s="16"/>
      <c r="D730" s="24"/>
      <c r="E730" s="25"/>
      <c r="F730" s="242"/>
    </row>
    <row r="731" spans="1:7" ht="51" x14ac:dyDescent="0.2">
      <c r="A731" s="234"/>
      <c r="B731" s="21" t="s">
        <v>394</v>
      </c>
      <c r="C731" s="16"/>
      <c r="D731" s="24"/>
      <c r="E731" s="25"/>
      <c r="F731" s="242"/>
    </row>
    <row r="732" spans="1:7" x14ac:dyDescent="0.2">
      <c r="A732" s="234"/>
      <c r="B732" s="402"/>
      <c r="C732" s="16"/>
      <c r="D732" s="24"/>
      <c r="E732" s="25"/>
      <c r="F732" s="242"/>
    </row>
    <row r="733" spans="1:7" ht="39" thickBot="1" x14ac:dyDescent="0.25">
      <c r="A733" s="401"/>
      <c r="B733" s="304" t="s">
        <v>405</v>
      </c>
      <c r="C733" s="93"/>
      <c r="D733" s="287"/>
      <c r="E733" s="71"/>
      <c r="F733" s="380"/>
    </row>
    <row r="734" spans="1:7" x14ac:dyDescent="0.2">
      <c r="A734" s="234"/>
      <c r="B734" s="10"/>
      <c r="C734" s="16"/>
      <c r="D734" s="24"/>
      <c r="E734" s="25"/>
      <c r="F734" s="242"/>
    </row>
    <row r="735" spans="1:7" x14ac:dyDescent="0.2">
      <c r="A735" s="234"/>
      <c r="B735" s="25" t="s">
        <v>26</v>
      </c>
      <c r="C735" s="25"/>
      <c r="D735" s="25"/>
      <c r="E735" s="23"/>
      <c r="F735" s="242"/>
    </row>
    <row r="736" spans="1:7" ht="38.25" x14ac:dyDescent="0.2">
      <c r="A736" s="234"/>
      <c r="B736" s="26" t="s">
        <v>1370</v>
      </c>
      <c r="C736" s="25"/>
      <c r="D736" s="64">
        <f>2.77*(3.94+4.15+3.65+1.65+3.73+4.4+69.19+10.69+4.47+5.29+3.8*2)-(2.8*2.67-3)</f>
        <v>324.48920000000004</v>
      </c>
      <c r="E736" s="23"/>
      <c r="F736" s="242"/>
    </row>
    <row r="737" spans="1:10" x14ac:dyDescent="0.2">
      <c r="A737" s="234"/>
      <c r="B737" s="25"/>
      <c r="C737" s="25"/>
      <c r="D737" s="25"/>
      <c r="E737" s="23"/>
      <c r="F737" s="242"/>
    </row>
    <row r="738" spans="1:10" x14ac:dyDescent="0.2">
      <c r="A738" s="234"/>
      <c r="B738" s="25" t="s">
        <v>898</v>
      </c>
      <c r="C738" s="25"/>
      <c r="D738" s="25"/>
      <c r="E738" s="23"/>
      <c r="F738" s="242"/>
    </row>
    <row r="739" spans="1:10" ht="25.5" x14ac:dyDescent="0.2">
      <c r="A739" s="234"/>
      <c r="B739" s="64" t="s">
        <v>1371</v>
      </c>
      <c r="C739" s="25"/>
      <c r="D739" s="64">
        <f>2.77*(3.94+4.15+3.65+1.65+3.73+3.7+65.89+3.8*2)</f>
        <v>261.23869999999999</v>
      </c>
      <c r="E739" s="23"/>
      <c r="F739" s="242"/>
    </row>
    <row r="740" spans="1:10" x14ac:dyDescent="0.2">
      <c r="A740" s="234"/>
      <c r="B740" s="25"/>
      <c r="C740" s="25"/>
      <c r="D740" s="25"/>
      <c r="E740" s="23"/>
      <c r="F740" s="242"/>
    </row>
    <row r="741" spans="1:10" x14ac:dyDescent="0.2">
      <c r="A741" s="234"/>
      <c r="B741" s="25" t="s">
        <v>899</v>
      </c>
      <c r="C741" s="25"/>
      <c r="D741" s="25"/>
      <c r="E741" s="23"/>
      <c r="F741" s="242"/>
    </row>
    <row r="742" spans="1:10" ht="25.5" x14ac:dyDescent="0.2">
      <c r="A742" s="234"/>
      <c r="B742" s="26" t="s">
        <v>1372</v>
      </c>
      <c r="C742" s="25"/>
      <c r="D742" s="64">
        <f>2.77*(3.94+4.15+3.65+1.65+3.73+3.7+65.89+3.8*2)*2</f>
        <v>522.47739999999999</v>
      </c>
      <c r="E742" s="23"/>
      <c r="F742" s="242"/>
    </row>
    <row r="743" spans="1:10" x14ac:dyDescent="0.2">
      <c r="A743" s="234"/>
      <c r="B743" s="26"/>
      <c r="C743" s="25"/>
      <c r="D743" s="65"/>
      <c r="E743" s="23"/>
      <c r="F743" s="242"/>
    </row>
    <row r="744" spans="1:10" x14ac:dyDescent="0.2">
      <c r="A744" s="234"/>
      <c r="B744" s="26" t="s">
        <v>909</v>
      </c>
      <c r="C744" s="25"/>
      <c r="D744" s="65"/>
      <c r="E744" s="23"/>
      <c r="F744" s="242"/>
    </row>
    <row r="745" spans="1:10" ht="25.5" x14ac:dyDescent="0.2">
      <c r="A745" s="234"/>
      <c r="B745" s="26" t="s">
        <v>1373</v>
      </c>
      <c r="C745" s="25"/>
      <c r="D745" s="64">
        <f>(2.77+2.5)/2*(3.94+4.15+3.65+1.65+3.73+3.7+3.8*2)+2.77*65.89</f>
        <v>257.40199999999999</v>
      </c>
      <c r="E745" s="23"/>
      <c r="F745" s="242"/>
    </row>
    <row r="746" spans="1:10" x14ac:dyDescent="0.2">
      <c r="A746" s="234"/>
      <c r="B746" s="24"/>
      <c r="C746" s="16"/>
      <c r="D746" s="24"/>
      <c r="E746" s="23"/>
      <c r="F746" s="242"/>
    </row>
    <row r="747" spans="1:10" x14ac:dyDescent="0.2">
      <c r="A747" s="234"/>
      <c r="B747" s="25" t="s">
        <v>1479</v>
      </c>
      <c r="C747" s="16" t="s">
        <v>37</v>
      </c>
      <c r="D747" s="64">
        <f>SUM(D736:D746)</f>
        <v>1365.6073000000001</v>
      </c>
      <c r="E747" s="12"/>
      <c r="F747" s="215">
        <f>E747*D747</f>
        <v>0</v>
      </c>
    </row>
    <row r="748" spans="1:10" ht="13.5" thickBot="1" x14ac:dyDescent="0.25">
      <c r="A748" s="234"/>
      <c r="B748" s="26"/>
      <c r="C748" s="25"/>
      <c r="D748" s="25"/>
      <c r="E748" s="25"/>
      <c r="F748" s="242"/>
    </row>
    <row r="749" spans="1:10" s="2" customFormat="1" ht="15.95" customHeight="1" thickBot="1" x14ac:dyDescent="0.25">
      <c r="A749" s="384" t="str">
        <f>A367</f>
        <v>4.</v>
      </c>
      <c r="B749" s="49" t="s">
        <v>55</v>
      </c>
      <c r="C749" s="50"/>
      <c r="D749" s="50"/>
      <c r="E749" s="51"/>
      <c r="F749" s="238">
        <f>SUM(F374:F748)</f>
        <v>0</v>
      </c>
      <c r="G749" s="187"/>
      <c r="H749" s="3"/>
      <c r="I749" s="3"/>
      <c r="J749" s="3"/>
    </row>
    <row r="750" spans="1:10" s="2" customFormat="1" ht="15.95" customHeight="1" thickBot="1" x14ac:dyDescent="0.25">
      <c r="A750" s="385" t="s">
        <v>25</v>
      </c>
      <c r="B750" s="49" t="s">
        <v>54</v>
      </c>
      <c r="C750" s="50"/>
      <c r="D750" s="50"/>
      <c r="E750" s="60"/>
      <c r="F750" s="386"/>
      <c r="G750" s="187"/>
      <c r="H750" s="3"/>
      <c r="I750" s="3"/>
      <c r="J750" s="3"/>
    </row>
    <row r="751" spans="1:10" x14ac:dyDescent="0.2">
      <c r="A751" s="376"/>
      <c r="B751" s="25"/>
      <c r="C751" s="25"/>
      <c r="D751" s="25"/>
      <c r="E751" s="68"/>
      <c r="F751" s="242"/>
      <c r="G751" s="187"/>
    </row>
    <row r="752" spans="1:10" ht="76.5" x14ac:dyDescent="0.2">
      <c r="A752" s="213" t="s">
        <v>61</v>
      </c>
      <c r="B752" s="65" t="s">
        <v>946</v>
      </c>
      <c r="C752" s="27"/>
      <c r="D752" s="26"/>
      <c r="E752" s="18"/>
      <c r="F752" s="219"/>
      <c r="G752" s="187"/>
    </row>
    <row r="753" spans="1:7" ht="25.5" x14ac:dyDescent="0.2">
      <c r="A753" s="376"/>
      <c r="B753" s="65" t="s">
        <v>406</v>
      </c>
      <c r="C753" s="27"/>
      <c r="D753" s="26"/>
      <c r="E753" s="18"/>
      <c r="F753" s="219"/>
      <c r="G753" s="187"/>
    </row>
    <row r="754" spans="1:7" x14ac:dyDescent="0.2">
      <c r="A754" s="376"/>
      <c r="B754" s="103" t="s">
        <v>407</v>
      </c>
      <c r="C754" s="27"/>
      <c r="D754" s="26"/>
      <c r="E754" s="18"/>
      <c r="F754" s="219"/>
      <c r="G754" s="187"/>
    </row>
    <row r="755" spans="1:7" x14ac:dyDescent="0.2">
      <c r="A755" s="376"/>
      <c r="B755" s="64" t="s">
        <v>711</v>
      </c>
      <c r="C755" s="27"/>
      <c r="D755" s="26"/>
      <c r="E755" s="18"/>
      <c r="F755" s="219"/>
      <c r="G755" s="187"/>
    </row>
    <row r="756" spans="1:7" x14ac:dyDescent="0.2">
      <c r="A756" s="376"/>
      <c r="B756" s="64" t="s">
        <v>947</v>
      </c>
      <c r="C756" s="27"/>
      <c r="D756" s="26"/>
      <c r="E756" s="18"/>
      <c r="F756" s="219"/>
      <c r="G756" s="187"/>
    </row>
    <row r="757" spans="1:7" x14ac:dyDescent="0.2">
      <c r="A757" s="376"/>
      <c r="B757" s="64" t="s">
        <v>705</v>
      </c>
      <c r="C757" s="27"/>
      <c r="D757" s="26"/>
      <c r="E757" s="18"/>
      <c r="F757" s="219"/>
      <c r="G757" s="187"/>
    </row>
    <row r="758" spans="1:7" x14ac:dyDescent="0.2">
      <c r="A758" s="376"/>
      <c r="B758" s="64" t="s">
        <v>408</v>
      </c>
      <c r="C758" s="27"/>
      <c r="D758" s="26"/>
      <c r="E758" s="18"/>
      <c r="F758" s="219"/>
      <c r="G758" s="187"/>
    </row>
    <row r="759" spans="1:7" x14ac:dyDescent="0.2">
      <c r="A759" s="376"/>
      <c r="B759" s="64" t="s">
        <v>710</v>
      </c>
      <c r="C759" s="27"/>
      <c r="D759" s="26"/>
      <c r="E759" s="18"/>
      <c r="F759" s="219"/>
      <c r="G759" s="187"/>
    </row>
    <row r="760" spans="1:7" x14ac:dyDescent="0.2">
      <c r="A760" s="376"/>
      <c r="B760" s="64" t="s">
        <v>409</v>
      </c>
      <c r="C760" s="27"/>
      <c r="D760" s="26"/>
      <c r="E760" s="18"/>
      <c r="F760" s="219"/>
      <c r="G760" s="187"/>
    </row>
    <row r="761" spans="1:7" x14ac:dyDescent="0.2">
      <c r="A761" s="376"/>
      <c r="B761" s="64" t="s">
        <v>948</v>
      </c>
      <c r="C761" s="27"/>
      <c r="D761" s="26"/>
      <c r="E761" s="18"/>
      <c r="F761" s="219"/>
      <c r="G761" s="187"/>
    </row>
    <row r="762" spans="1:7" ht="51" x14ac:dyDescent="0.2">
      <c r="A762" s="376"/>
      <c r="B762" s="65" t="s">
        <v>410</v>
      </c>
      <c r="C762" s="27"/>
      <c r="D762" s="26"/>
      <c r="E762" s="18"/>
      <c r="F762" s="219"/>
      <c r="G762" s="187"/>
    </row>
    <row r="763" spans="1:7" ht="51" x14ac:dyDescent="0.2">
      <c r="A763" s="376"/>
      <c r="B763" s="65" t="s">
        <v>411</v>
      </c>
      <c r="C763" s="27"/>
      <c r="D763" s="26"/>
      <c r="E763" s="18"/>
      <c r="F763" s="219"/>
      <c r="G763" s="187"/>
    </row>
    <row r="764" spans="1:7" ht="38.25" x14ac:dyDescent="0.2">
      <c r="A764" s="376"/>
      <c r="B764" s="65" t="s">
        <v>169</v>
      </c>
      <c r="C764" s="66" t="s">
        <v>37</v>
      </c>
      <c r="D764" s="18">
        <v>605.84</v>
      </c>
      <c r="E764" s="18"/>
      <c r="F764" s="219">
        <f>E764*D764</f>
        <v>0</v>
      </c>
      <c r="G764" s="187"/>
    </row>
    <row r="765" spans="1:7" x14ac:dyDescent="0.2">
      <c r="A765" s="376"/>
      <c r="B765" s="65"/>
      <c r="C765" s="25"/>
      <c r="D765" s="25"/>
      <c r="E765" s="25"/>
      <c r="F765" s="242"/>
      <c r="G765" s="187"/>
    </row>
    <row r="766" spans="1:7" ht="51" x14ac:dyDescent="0.2">
      <c r="A766" s="213" t="s">
        <v>142</v>
      </c>
      <c r="B766" s="35" t="s">
        <v>1384</v>
      </c>
      <c r="C766" s="25"/>
      <c r="D766" s="25"/>
      <c r="E766" s="23"/>
      <c r="F766" s="242"/>
      <c r="G766" s="187"/>
    </row>
    <row r="767" spans="1:7" ht="63.75" x14ac:dyDescent="0.2">
      <c r="A767" s="376"/>
      <c r="B767" s="35" t="s">
        <v>412</v>
      </c>
      <c r="C767" s="25"/>
      <c r="D767" s="25"/>
      <c r="E767" s="23"/>
      <c r="F767" s="242"/>
      <c r="G767" s="187"/>
    </row>
    <row r="768" spans="1:7" ht="38.25" x14ac:dyDescent="0.2">
      <c r="A768" s="376"/>
      <c r="B768" s="35" t="s">
        <v>413</v>
      </c>
      <c r="C768" s="66" t="s">
        <v>37</v>
      </c>
      <c r="D768" s="18">
        <v>640.70000000000005</v>
      </c>
      <c r="E768" s="18"/>
      <c r="F768" s="219">
        <f>E768*D768</f>
        <v>0</v>
      </c>
      <c r="G768" s="187"/>
    </row>
    <row r="769" spans="1:7" x14ac:dyDescent="0.2">
      <c r="A769" s="376"/>
      <c r="B769" s="147"/>
      <c r="C769" s="66"/>
      <c r="D769" s="18"/>
      <c r="E769" s="18"/>
      <c r="F769" s="219"/>
      <c r="G769" s="87"/>
    </row>
    <row r="770" spans="1:7" ht="51" x14ac:dyDescent="0.2">
      <c r="A770" s="213" t="s">
        <v>113</v>
      </c>
      <c r="B770" s="35" t="s">
        <v>949</v>
      </c>
      <c r="C770" s="66"/>
      <c r="D770" s="18"/>
      <c r="E770" s="18"/>
      <c r="F770" s="219"/>
      <c r="G770" s="87"/>
    </row>
    <row r="771" spans="1:7" ht="64.5" thickBot="1" x14ac:dyDescent="0.25">
      <c r="A771" s="388"/>
      <c r="B771" s="305" t="s">
        <v>412</v>
      </c>
      <c r="C771" s="290"/>
      <c r="D771" s="94"/>
      <c r="E771" s="94"/>
      <c r="F771" s="283"/>
      <c r="G771" s="87"/>
    </row>
    <row r="772" spans="1:7" x14ac:dyDescent="0.2">
      <c r="A772" s="376"/>
      <c r="B772" s="35"/>
      <c r="C772" s="66"/>
      <c r="D772" s="18"/>
      <c r="E772" s="18"/>
      <c r="F772" s="219"/>
      <c r="G772" s="87"/>
    </row>
    <row r="773" spans="1:7" ht="38.25" x14ac:dyDescent="0.2">
      <c r="A773" s="376"/>
      <c r="B773" s="35" t="s">
        <v>413</v>
      </c>
      <c r="C773" s="66"/>
      <c r="D773" s="18"/>
      <c r="E773" s="18"/>
      <c r="F773" s="219"/>
      <c r="G773" s="87"/>
    </row>
    <row r="774" spans="1:7" x14ac:dyDescent="0.2">
      <c r="A774" s="376"/>
      <c r="B774" s="147"/>
      <c r="C774" s="66"/>
      <c r="D774" s="18"/>
      <c r="E774" s="18"/>
      <c r="F774" s="219"/>
      <c r="G774" s="87"/>
    </row>
    <row r="775" spans="1:7" ht="25.5" x14ac:dyDescent="0.2">
      <c r="A775" s="376"/>
      <c r="B775" s="10" t="s">
        <v>950</v>
      </c>
      <c r="C775" s="66"/>
      <c r="D775" s="18"/>
      <c r="E775" s="18"/>
      <c r="F775" s="219"/>
      <c r="G775" s="87"/>
    </row>
    <row r="776" spans="1:7" ht="89.25" x14ac:dyDescent="0.2">
      <c r="A776" s="376"/>
      <c r="B776" s="97" t="s">
        <v>1374</v>
      </c>
      <c r="C776" s="16" t="s">
        <v>37</v>
      </c>
      <c r="D776" s="97">
        <f>2.1*(3.95*2+6.09+1+3.72+2.95+0.6+2.56+0.375*22.62+2.8+3.15+2.8+2.72+1.7+3.92+1.63)+2.5*(8.17+5.37+2.657*2)+(2.5+1.99)/2*1.4*2+2.7*(2.95+2.7+2.95+2.9+3.3+3.1+6.5*2*2)-(2.7*2.4*6+1*1.6*10+1.8*1*6+1.8*1.6*3+1*1*8+1.8*1*6+1*0.6*2)</f>
        <v>186.87825000000004</v>
      </c>
      <c r="E776" s="18"/>
      <c r="F776" s="219">
        <f>E776*D776</f>
        <v>0</v>
      </c>
      <c r="G776" s="87"/>
    </row>
    <row r="777" spans="1:7" x14ac:dyDescent="0.2">
      <c r="A777" s="376"/>
      <c r="B777" s="147"/>
      <c r="C777" s="16"/>
      <c r="D777" s="218"/>
      <c r="E777" s="18"/>
      <c r="F777" s="219"/>
      <c r="G777" s="87"/>
    </row>
    <row r="778" spans="1:7" ht="51" x14ac:dyDescent="0.2">
      <c r="A778" s="213" t="s">
        <v>571</v>
      </c>
      <c r="B778" s="147" t="s">
        <v>951</v>
      </c>
      <c r="C778" s="66"/>
      <c r="D778" s="18"/>
      <c r="E778" s="18"/>
      <c r="F778" s="219"/>
      <c r="G778" s="87"/>
    </row>
    <row r="779" spans="1:7" ht="51" x14ac:dyDescent="0.2">
      <c r="A779" s="376"/>
      <c r="B779" s="147" t="s">
        <v>952</v>
      </c>
      <c r="C779" s="66"/>
      <c r="D779" s="18"/>
      <c r="E779" s="18"/>
      <c r="F779" s="219"/>
      <c r="G779" s="87"/>
    </row>
    <row r="780" spans="1:7" ht="25.5" x14ac:dyDescent="0.2">
      <c r="A780" s="376"/>
      <c r="B780" s="147" t="s">
        <v>953</v>
      </c>
      <c r="C780" s="66"/>
      <c r="D780" s="18"/>
      <c r="E780" s="18"/>
      <c r="F780" s="219"/>
      <c r="G780" s="87"/>
    </row>
    <row r="781" spans="1:7" ht="51" x14ac:dyDescent="0.2">
      <c r="A781" s="376"/>
      <c r="B781" s="65" t="s">
        <v>410</v>
      </c>
      <c r="C781" s="66"/>
      <c r="D781" s="18"/>
      <c r="E781" s="18"/>
      <c r="F781" s="219"/>
      <c r="G781" s="87"/>
    </row>
    <row r="782" spans="1:7" ht="51" x14ac:dyDescent="0.2">
      <c r="A782" s="376"/>
      <c r="B782" s="65" t="s">
        <v>411</v>
      </c>
      <c r="C782" s="66"/>
      <c r="D782" s="18"/>
      <c r="E782" s="18"/>
      <c r="F782" s="219"/>
      <c r="G782" s="87"/>
    </row>
    <row r="783" spans="1:7" ht="25.5" x14ac:dyDescent="0.2">
      <c r="A783" s="376"/>
      <c r="B783" s="65" t="s">
        <v>954</v>
      </c>
      <c r="C783" s="66"/>
      <c r="D783" s="18"/>
      <c r="E783" s="18"/>
      <c r="F783" s="219"/>
      <c r="G783" s="87"/>
    </row>
    <row r="784" spans="1:7" x14ac:dyDescent="0.2">
      <c r="A784" s="376"/>
      <c r="B784" s="147"/>
      <c r="C784" s="66"/>
      <c r="D784" s="18"/>
      <c r="E784" s="18"/>
      <c r="F784" s="219"/>
      <c r="G784" s="87"/>
    </row>
    <row r="785" spans="1:7" ht="25.5" x14ac:dyDescent="0.2">
      <c r="A785" s="376"/>
      <c r="B785" s="10" t="s">
        <v>950</v>
      </c>
      <c r="C785" s="66"/>
      <c r="D785" s="18"/>
      <c r="E785" s="18"/>
      <c r="F785" s="219"/>
      <c r="G785" s="87"/>
    </row>
    <row r="786" spans="1:7" ht="89.25" x14ac:dyDescent="0.2">
      <c r="A786" s="376"/>
      <c r="B786" s="26" t="s">
        <v>1374</v>
      </c>
      <c r="C786" s="16" t="s">
        <v>37</v>
      </c>
      <c r="D786" s="64">
        <f>2.1*(3.95*2+6.09+1+3.72+2.95+0.6+2.56+0.375*22.62+2.8+3.15+2.8+2.72+1.7+3.92+1.63)+2.5*(8.17+5.37+2.657*2)+(2.5+1.99)/2*1.4*2+2.7*(2.95+2.7+2.95+2.9+3.3+3.1+6.5*2*2)-(2.7*2.4*6+1*1.6*10+1.8*1*6+1.8*1.6*3+1*1*8+1.8*1*6+1*0.6*2)</f>
        <v>186.87825000000004</v>
      </c>
      <c r="E786" s="18"/>
      <c r="F786" s="219">
        <f>E786*D786</f>
        <v>0</v>
      </c>
      <c r="G786" s="87"/>
    </row>
    <row r="787" spans="1:7" x14ac:dyDescent="0.2">
      <c r="A787" s="376"/>
      <c r="B787" s="147"/>
      <c r="C787" s="66"/>
      <c r="D787" s="18"/>
      <c r="E787" s="18"/>
      <c r="F787" s="219"/>
      <c r="G787" s="87"/>
    </row>
    <row r="788" spans="1:7" ht="39" thickBot="1" x14ac:dyDescent="0.25">
      <c r="A788" s="306" t="s">
        <v>955</v>
      </c>
      <c r="B788" s="307" t="s">
        <v>1385</v>
      </c>
      <c r="C788" s="308"/>
      <c r="D788" s="309"/>
      <c r="E788" s="310"/>
      <c r="F788" s="311"/>
      <c r="G788" s="87"/>
    </row>
    <row r="789" spans="1:7" x14ac:dyDescent="0.2">
      <c r="A789" s="213"/>
      <c r="B789" s="35"/>
      <c r="C789" s="27"/>
      <c r="D789" s="112"/>
      <c r="E789" s="18"/>
      <c r="F789" s="219"/>
      <c r="G789" s="87"/>
    </row>
    <row r="790" spans="1:7" ht="63.75" x14ac:dyDescent="0.2">
      <c r="A790" s="213"/>
      <c r="B790" s="35" t="s">
        <v>656</v>
      </c>
      <c r="C790" s="27"/>
      <c r="D790" s="112"/>
      <c r="E790" s="18"/>
      <c r="F790" s="219"/>
      <c r="G790" s="87"/>
    </row>
    <row r="791" spans="1:7" ht="38.25" x14ac:dyDescent="0.2">
      <c r="A791" s="213"/>
      <c r="B791" s="35" t="s">
        <v>657</v>
      </c>
      <c r="C791" s="27"/>
      <c r="D791" s="112"/>
      <c r="E791" s="18"/>
      <c r="F791" s="219"/>
      <c r="G791" s="87"/>
    </row>
    <row r="792" spans="1:7" ht="25.5" x14ac:dyDescent="0.2">
      <c r="A792" s="213"/>
      <c r="B792" s="35" t="s">
        <v>658</v>
      </c>
      <c r="C792" s="27"/>
      <c r="D792" s="112"/>
      <c r="E792" s="18"/>
      <c r="F792" s="219"/>
      <c r="G792" s="87"/>
    </row>
    <row r="793" spans="1:7" x14ac:dyDescent="0.2">
      <c r="A793" s="213"/>
      <c r="B793" s="35"/>
      <c r="C793" s="27"/>
      <c r="D793" s="112"/>
      <c r="E793" s="18"/>
      <c r="F793" s="219"/>
      <c r="G793" s="87"/>
    </row>
    <row r="794" spans="1:7" x14ac:dyDescent="0.2">
      <c r="A794" s="213"/>
      <c r="B794" s="26" t="s">
        <v>956</v>
      </c>
      <c r="C794" s="66" t="s">
        <v>37</v>
      </c>
      <c r="D794" s="112">
        <f>(0.2+0.2+0.32)*(3.82*2+7.25*2)</f>
        <v>15.940799999999999</v>
      </c>
      <c r="E794" s="18"/>
      <c r="F794" s="219">
        <f>E794*D794</f>
        <v>0</v>
      </c>
      <c r="G794" s="87"/>
    </row>
    <row r="795" spans="1:7" x14ac:dyDescent="0.2">
      <c r="A795" s="376"/>
      <c r="B795" s="147"/>
      <c r="C795" s="66"/>
      <c r="D795" s="18"/>
      <c r="E795" s="18"/>
      <c r="F795" s="219"/>
      <c r="G795" s="87"/>
    </row>
    <row r="796" spans="1:7" ht="38.25" x14ac:dyDescent="0.2">
      <c r="A796" s="213" t="s">
        <v>957</v>
      </c>
      <c r="B796" s="70" t="s">
        <v>958</v>
      </c>
      <c r="C796" s="66"/>
      <c r="D796" s="29"/>
      <c r="E796" s="18"/>
      <c r="F796" s="219"/>
      <c r="G796" s="87"/>
    </row>
    <row r="797" spans="1:7" ht="38.25" x14ac:dyDescent="0.2">
      <c r="A797" s="213"/>
      <c r="B797" s="70" t="s">
        <v>959</v>
      </c>
      <c r="C797" s="66"/>
      <c r="D797" s="29"/>
      <c r="E797" s="18"/>
      <c r="F797" s="219"/>
      <c r="G797" s="87"/>
    </row>
    <row r="798" spans="1:7" ht="25.5" x14ac:dyDescent="0.2">
      <c r="A798" s="213"/>
      <c r="B798" s="35" t="s">
        <v>658</v>
      </c>
      <c r="C798" s="66"/>
      <c r="D798" s="29"/>
      <c r="E798" s="18"/>
      <c r="F798" s="219"/>
      <c r="G798" s="87"/>
    </row>
    <row r="799" spans="1:7" x14ac:dyDescent="0.2">
      <c r="A799" s="213"/>
      <c r="B799" s="70"/>
      <c r="C799" s="66"/>
      <c r="D799" s="29"/>
      <c r="E799" s="18"/>
      <c r="F799" s="219"/>
      <c r="G799" s="87"/>
    </row>
    <row r="800" spans="1:7" x14ac:dyDescent="0.2">
      <c r="A800" s="213"/>
      <c r="B800" s="70" t="s">
        <v>960</v>
      </c>
      <c r="C800" s="66" t="s">
        <v>37</v>
      </c>
      <c r="D800" s="220">
        <f>2.9*1.4</f>
        <v>4.0599999999999996</v>
      </c>
      <c r="E800" s="18"/>
      <c r="F800" s="219">
        <f>E800*D800</f>
        <v>0</v>
      </c>
      <c r="G800" s="87"/>
    </row>
    <row r="801" spans="1:10" ht="13.5" thickBot="1" x14ac:dyDescent="0.25">
      <c r="A801" s="376"/>
      <c r="B801" s="9"/>
      <c r="C801" s="66"/>
      <c r="D801" s="18"/>
      <c r="E801" s="18"/>
      <c r="F801" s="219"/>
      <c r="G801" s="87"/>
    </row>
    <row r="802" spans="1:10" s="2" customFormat="1" ht="15.95" customHeight="1" thickBot="1" x14ac:dyDescent="0.25">
      <c r="A802" s="235" t="str">
        <f>A750</f>
        <v>5.</v>
      </c>
      <c r="B802" s="52" t="s">
        <v>56</v>
      </c>
      <c r="C802" s="53"/>
      <c r="D802" s="54"/>
      <c r="E802" s="55"/>
      <c r="F802" s="238">
        <f>SUM(F752:F801)</f>
        <v>0</v>
      </c>
      <c r="G802" s="4"/>
      <c r="H802" s="3"/>
      <c r="I802" s="3"/>
      <c r="J802" s="3"/>
    </row>
    <row r="803" spans="1:10" s="2" customFormat="1" ht="15.95" customHeight="1" thickBot="1" x14ac:dyDescent="0.25">
      <c r="A803" s="239" t="s">
        <v>43</v>
      </c>
      <c r="B803" s="61" t="s">
        <v>94</v>
      </c>
      <c r="C803" s="62"/>
      <c r="D803" s="63"/>
      <c r="E803" s="63"/>
      <c r="F803" s="241"/>
      <c r="G803" s="4"/>
      <c r="H803" s="3"/>
      <c r="I803" s="3"/>
      <c r="J803" s="3"/>
    </row>
    <row r="804" spans="1:10" x14ac:dyDescent="0.2">
      <c r="A804" s="376"/>
      <c r="B804" s="25"/>
      <c r="C804" s="25"/>
      <c r="D804" s="25"/>
      <c r="E804" s="68"/>
      <c r="F804" s="242"/>
    </row>
    <row r="805" spans="1:10" x14ac:dyDescent="0.2">
      <c r="A805" s="376"/>
      <c r="B805" s="82" t="s">
        <v>60</v>
      </c>
      <c r="C805" s="25"/>
      <c r="D805" s="25"/>
      <c r="E805" s="25"/>
      <c r="F805" s="242"/>
    </row>
    <row r="806" spans="1:10" ht="51" x14ac:dyDescent="0.2">
      <c r="A806" s="376"/>
      <c r="B806" s="70" t="s">
        <v>961</v>
      </c>
      <c r="C806" s="25"/>
      <c r="D806" s="25"/>
      <c r="E806" s="25"/>
      <c r="F806" s="242"/>
    </row>
    <row r="807" spans="1:10" ht="63.75" x14ac:dyDescent="0.2">
      <c r="A807" s="376"/>
      <c r="B807" s="70" t="s">
        <v>962</v>
      </c>
      <c r="C807" s="25"/>
      <c r="D807" s="25"/>
      <c r="E807" s="25"/>
      <c r="F807" s="242"/>
    </row>
    <row r="808" spans="1:10" ht="38.25" x14ac:dyDescent="0.2">
      <c r="A808" s="376"/>
      <c r="B808" s="70" t="s">
        <v>963</v>
      </c>
      <c r="C808" s="25"/>
      <c r="D808" s="25"/>
      <c r="E808" s="25"/>
      <c r="F808" s="242"/>
    </row>
    <row r="809" spans="1:10" x14ac:dyDescent="0.2">
      <c r="A809" s="376"/>
      <c r="B809" s="82"/>
      <c r="C809" s="25"/>
      <c r="D809" s="25"/>
      <c r="E809" s="25"/>
      <c r="F809" s="242"/>
    </row>
    <row r="810" spans="1:10" ht="51" x14ac:dyDescent="0.2">
      <c r="A810" s="213" t="s">
        <v>62</v>
      </c>
      <c r="B810" s="403" t="s">
        <v>964</v>
      </c>
      <c r="C810" s="25"/>
      <c r="D810" s="25"/>
      <c r="E810" s="25"/>
      <c r="F810" s="242"/>
    </row>
    <row r="811" spans="1:10" ht="25.5" x14ac:dyDescent="0.2">
      <c r="A811" s="213"/>
      <c r="B811" s="127" t="s">
        <v>965</v>
      </c>
      <c r="C811" s="25"/>
      <c r="D811" s="25"/>
      <c r="E811" s="25"/>
      <c r="F811" s="242"/>
    </row>
    <row r="812" spans="1:10" ht="51" x14ac:dyDescent="0.2">
      <c r="A812" s="213"/>
      <c r="B812" s="1" t="s">
        <v>966</v>
      </c>
      <c r="C812" s="25"/>
      <c r="D812" s="25"/>
      <c r="E812" s="25"/>
      <c r="F812" s="242"/>
    </row>
    <row r="813" spans="1:10" ht="51" x14ac:dyDescent="0.2">
      <c r="A813" s="213"/>
      <c r="B813" s="1" t="s">
        <v>967</v>
      </c>
      <c r="C813" s="25"/>
      <c r="D813" s="25"/>
      <c r="E813" s="25"/>
      <c r="F813" s="242"/>
    </row>
    <row r="814" spans="1:10" ht="63.75" x14ac:dyDescent="0.2">
      <c r="A814" s="213"/>
      <c r="B814" s="271" t="s">
        <v>968</v>
      </c>
      <c r="C814" s="25"/>
      <c r="D814" s="25"/>
      <c r="E814" s="25"/>
      <c r="F814" s="242"/>
    </row>
    <row r="815" spans="1:10" ht="25.5" x14ac:dyDescent="0.2">
      <c r="A815" s="213"/>
      <c r="B815" s="271" t="s">
        <v>969</v>
      </c>
      <c r="C815" s="25"/>
      <c r="D815" s="25"/>
      <c r="E815" s="25"/>
      <c r="F815" s="242"/>
    </row>
    <row r="816" spans="1:10" ht="25.5" x14ac:dyDescent="0.2">
      <c r="A816" s="213"/>
      <c r="B816" s="36" t="s">
        <v>276</v>
      </c>
      <c r="C816" s="25"/>
      <c r="D816" s="25"/>
      <c r="E816" s="25"/>
      <c r="F816" s="242"/>
      <c r="G816" s="66"/>
    </row>
    <row r="817" spans="1:6" x14ac:dyDescent="0.2">
      <c r="A817" s="213"/>
      <c r="B817" s="36"/>
      <c r="C817" s="25"/>
      <c r="D817" s="25"/>
      <c r="E817" s="25"/>
      <c r="F817" s="242"/>
    </row>
    <row r="818" spans="1:6" ht="25.5" x14ac:dyDescent="0.2">
      <c r="A818" s="376"/>
      <c r="B818" s="25" t="s">
        <v>970</v>
      </c>
      <c r="C818" s="25"/>
      <c r="D818" s="25"/>
      <c r="E818" s="25"/>
      <c r="F818" s="242"/>
    </row>
    <row r="819" spans="1:6" ht="25.5" x14ac:dyDescent="0.2">
      <c r="A819" s="399"/>
      <c r="B819" s="64" t="s">
        <v>1377</v>
      </c>
      <c r="C819" s="16" t="s">
        <v>37</v>
      </c>
      <c r="D819" s="64">
        <f>23.27+1.31*1+1.13*(1.13*2+1*2)+0.3*19.38</f>
        <v>35.207799999999999</v>
      </c>
      <c r="E819" s="20"/>
      <c r="F819" s="215">
        <f>D819*E819</f>
        <v>0</v>
      </c>
    </row>
    <row r="820" spans="1:6" x14ac:dyDescent="0.2">
      <c r="A820" s="399"/>
      <c r="B820" s="83"/>
      <c r="C820" s="16"/>
      <c r="D820" s="65"/>
      <c r="E820" s="20"/>
      <c r="F820" s="215"/>
    </row>
    <row r="821" spans="1:6" ht="77.25" thickBot="1" x14ac:dyDescent="0.25">
      <c r="A821" s="404" t="s">
        <v>63</v>
      </c>
      <c r="B821" s="312" t="s">
        <v>971</v>
      </c>
      <c r="C821" s="93"/>
      <c r="D821" s="288"/>
      <c r="E821" s="291"/>
      <c r="F821" s="358"/>
    </row>
    <row r="822" spans="1:6" x14ac:dyDescent="0.2">
      <c r="A822" s="405"/>
      <c r="B822" s="406"/>
      <c r="C822" s="16"/>
      <c r="D822" s="65"/>
      <c r="E822" s="20"/>
      <c r="F822" s="215"/>
    </row>
    <row r="823" spans="1:6" ht="114.75" x14ac:dyDescent="0.2">
      <c r="A823" s="405"/>
      <c r="B823" s="272" t="s">
        <v>972</v>
      </c>
      <c r="C823" s="16"/>
      <c r="D823" s="65"/>
      <c r="E823" s="20"/>
      <c r="F823" s="215"/>
    </row>
    <row r="824" spans="1:6" ht="51" x14ac:dyDescent="0.2">
      <c r="A824" s="405"/>
      <c r="B824" s="272" t="s">
        <v>973</v>
      </c>
      <c r="C824" s="16"/>
      <c r="D824" s="65"/>
      <c r="E824" s="20"/>
      <c r="F824" s="215"/>
    </row>
    <row r="825" spans="1:6" ht="89.25" x14ac:dyDescent="0.2">
      <c r="A825" s="405"/>
      <c r="B825" s="272" t="s">
        <v>974</v>
      </c>
      <c r="C825" s="16"/>
      <c r="D825" s="65"/>
      <c r="E825" s="20"/>
      <c r="F825" s="215"/>
    </row>
    <row r="826" spans="1:6" ht="89.25" x14ac:dyDescent="0.2">
      <c r="A826" s="399"/>
      <c r="B826" s="272" t="s">
        <v>975</v>
      </c>
      <c r="C826" s="188"/>
      <c r="D826" s="189"/>
      <c r="E826" s="190"/>
      <c r="F826" s="215"/>
    </row>
    <row r="827" spans="1:6" ht="38.25" x14ac:dyDescent="0.2">
      <c r="A827" s="399"/>
      <c r="B827" s="272" t="s">
        <v>976</v>
      </c>
      <c r="C827" s="188"/>
      <c r="D827" s="189"/>
      <c r="E827" s="190"/>
      <c r="F827" s="215"/>
    </row>
    <row r="828" spans="1:6" ht="102" x14ac:dyDescent="0.2">
      <c r="A828" s="399"/>
      <c r="B828" s="272" t="s">
        <v>977</v>
      </c>
      <c r="C828" s="188"/>
      <c r="D828" s="189"/>
      <c r="E828" s="190"/>
      <c r="F828" s="215"/>
    </row>
    <row r="829" spans="1:6" ht="25.5" x14ac:dyDescent="0.2">
      <c r="A829" s="399"/>
      <c r="B829" s="273" t="s">
        <v>276</v>
      </c>
      <c r="C829" s="188"/>
      <c r="D829" s="189"/>
      <c r="E829" s="190"/>
      <c r="F829" s="215"/>
    </row>
    <row r="830" spans="1:6" x14ac:dyDescent="0.2">
      <c r="A830" s="399"/>
      <c r="B830" s="274"/>
      <c r="C830" s="188"/>
      <c r="D830" s="189"/>
      <c r="E830" s="190"/>
      <c r="F830" s="215"/>
    </row>
    <row r="831" spans="1:6" ht="25.5" x14ac:dyDescent="0.2">
      <c r="A831" s="399"/>
      <c r="B831" s="64" t="s">
        <v>1378</v>
      </c>
      <c r="C831" s="16" t="s">
        <v>37</v>
      </c>
      <c r="D831" s="64">
        <f>(0.7*2+0.7*2+1.5)*(5.45*2*2+5.75*2*2+2.95*2+5.315*2)</f>
        <v>263.71899999999999</v>
      </c>
      <c r="E831" s="20"/>
      <c r="F831" s="215">
        <f>D831*E831</f>
        <v>0</v>
      </c>
    </row>
    <row r="832" spans="1:6" x14ac:dyDescent="0.2">
      <c r="A832" s="399"/>
      <c r="B832" s="275"/>
      <c r="C832" s="16"/>
      <c r="D832" s="65"/>
      <c r="E832" s="20"/>
      <c r="F832" s="215"/>
    </row>
    <row r="833" spans="1:6" ht="51" x14ac:dyDescent="0.2">
      <c r="A833" s="213" t="s">
        <v>1</v>
      </c>
      <c r="B833" s="168" t="s">
        <v>817</v>
      </c>
      <c r="C833" s="25"/>
      <c r="D833" s="25"/>
      <c r="E833" s="25"/>
      <c r="F833" s="242"/>
    </row>
    <row r="834" spans="1:6" ht="39" thickBot="1" x14ac:dyDescent="0.25">
      <c r="A834" s="382"/>
      <c r="B834" s="313" t="s">
        <v>530</v>
      </c>
      <c r="C834" s="71"/>
      <c r="D834" s="71"/>
      <c r="E834" s="71"/>
      <c r="F834" s="380"/>
    </row>
    <row r="835" spans="1:6" x14ac:dyDescent="0.2">
      <c r="A835" s="213"/>
      <c r="B835" s="407"/>
      <c r="C835" s="25"/>
      <c r="D835" s="25"/>
      <c r="E835" s="25"/>
      <c r="F835" s="242"/>
    </row>
    <row r="836" spans="1:6" ht="38.25" x14ac:dyDescent="0.2">
      <c r="A836" s="213"/>
      <c r="B836" s="408" t="s">
        <v>531</v>
      </c>
      <c r="C836" s="25"/>
      <c r="D836" s="25"/>
      <c r="E836" s="25"/>
      <c r="F836" s="242"/>
    </row>
    <row r="837" spans="1:6" ht="76.5" x14ac:dyDescent="0.2">
      <c r="A837" s="213"/>
      <c r="B837" s="408" t="s">
        <v>532</v>
      </c>
      <c r="C837" s="25"/>
      <c r="D837" s="25"/>
      <c r="E837" s="25"/>
      <c r="F837" s="242"/>
    </row>
    <row r="838" spans="1:6" ht="38.25" x14ac:dyDescent="0.2">
      <c r="A838" s="213"/>
      <c r="B838" s="408" t="s">
        <v>533</v>
      </c>
      <c r="C838" s="25"/>
      <c r="D838" s="25"/>
      <c r="E838" s="25"/>
      <c r="F838" s="242"/>
    </row>
    <row r="839" spans="1:6" ht="51" x14ac:dyDescent="0.2">
      <c r="A839" s="213"/>
      <c r="B839" s="408" t="s">
        <v>414</v>
      </c>
      <c r="C839" s="25"/>
      <c r="D839" s="25"/>
      <c r="E839" s="25"/>
      <c r="F839" s="242"/>
    </row>
    <row r="840" spans="1:6" ht="25.5" x14ac:dyDescent="0.2">
      <c r="A840" s="213"/>
      <c r="B840" s="276" t="s">
        <v>276</v>
      </c>
      <c r="C840" s="25"/>
      <c r="D840" s="25"/>
      <c r="E840" s="25"/>
      <c r="F840" s="242"/>
    </row>
    <row r="841" spans="1:6" x14ac:dyDescent="0.2">
      <c r="A841" s="213"/>
      <c r="B841" s="9"/>
      <c r="C841" s="25"/>
      <c r="D841" s="25"/>
      <c r="E841" s="25"/>
      <c r="F841" s="242"/>
    </row>
    <row r="842" spans="1:6" x14ac:dyDescent="0.2">
      <c r="A842" s="221" t="s">
        <v>1480</v>
      </c>
      <c r="B842" s="9" t="s">
        <v>771</v>
      </c>
      <c r="C842" s="25"/>
      <c r="D842" s="25"/>
      <c r="E842" s="25"/>
      <c r="F842" s="242"/>
    </row>
    <row r="843" spans="1:6" x14ac:dyDescent="0.2">
      <c r="A843" s="213"/>
      <c r="B843" s="25" t="s">
        <v>26</v>
      </c>
      <c r="C843" s="25"/>
      <c r="D843" s="25"/>
      <c r="E843" s="25"/>
      <c r="F843" s="242"/>
    </row>
    <row r="844" spans="1:6" ht="51" x14ac:dyDescent="0.2">
      <c r="A844" s="213"/>
      <c r="B844" s="26" t="s">
        <v>1389</v>
      </c>
      <c r="C844" s="25"/>
      <c r="D844" s="64">
        <f>4.12+4.17+4.12+4*2+5.06+1.56+5.78+2.04+0.2*(11.08+6.04+9.25+5.13+8.25+8.25+8.37+10.6+8.37+6.08)+1.8*(0.8*2*7+1.65*7)</f>
        <v>92.084000000000003</v>
      </c>
      <c r="E844" s="25"/>
      <c r="F844" s="242"/>
    </row>
    <row r="845" spans="1:6" x14ac:dyDescent="0.2">
      <c r="A845" s="213"/>
      <c r="B845" s="25"/>
      <c r="C845" s="25"/>
      <c r="D845" s="25"/>
      <c r="E845" s="25"/>
      <c r="F845" s="242"/>
    </row>
    <row r="846" spans="1:6" x14ac:dyDescent="0.2">
      <c r="A846" s="213"/>
      <c r="B846" s="25" t="s">
        <v>898</v>
      </c>
      <c r="C846" s="25"/>
      <c r="D846" s="25"/>
      <c r="E846" s="25"/>
      <c r="F846" s="242"/>
    </row>
    <row r="847" spans="1:6" ht="51" x14ac:dyDescent="0.2">
      <c r="A847" s="213"/>
      <c r="B847" s="26" t="s">
        <v>1390</v>
      </c>
      <c r="C847" s="25"/>
      <c r="D847" s="64">
        <f>4*2+5.06+1.56+2.04+4.26+4.12+4.36+1.46+4.12+0.2*(8.37+8.36+4.86+8.37+8.45+9.25+5.13+11.08+6.04+8.33+8.25)+1.8*(0.8*2*8+1.65*8)</f>
        <v>99.078000000000003</v>
      </c>
      <c r="E847" s="25"/>
      <c r="F847" s="242"/>
    </row>
    <row r="848" spans="1:6" x14ac:dyDescent="0.2">
      <c r="A848" s="213"/>
      <c r="B848" s="25"/>
      <c r="C848" s="25"/>
      <c r="D848" s="25"/>
      <c r="E848" s="25"/>
      <c r="F848" s="242"/>
    </row>
    <row r="849" spans="1:6" x14ac:dyDescent="0.2">
      <c r="A849" s="213"/>
      <c r="B849" s="25" t="s">
        <v>899</v>
      </c>
      <c r="C849" s="25"/>
      <c r="D849" s="25"/>
      <c r="E849" s="25"/>
      <c r="F849" s="242"/>
    </row>
    <row r="850" spans="1:6" ht="51" x14ac:dyDescent="0.2">
      <c r="A850" s="376"/>
      <c r="B850" s="26" t="s">
        <v>1391</v>
      </c>
      <c r="C850" s="25"/>
      <c r="D850" s="64">
        <f>2*(4*2+5.06+1.56+2.04+4.26+4.12+4.36+1.46+4.12+0.2*(8.37+8.36+4.86+8.37+8.45+9.25+5.13+11.08+6.04+8.33+8.25)+1.8*(0.8*2*8+1.65*8))</f>
        <v>198.15600000000001</v>
      </c>
      <c r="E850" s="25"/>
      <c r="F850" s="242"/>
    </row>
    <row r="851" spans="1:6" x14ac:dyDescent="0.2">
      <c r="A851" s="376"/>
      <c r="B851" s="26"/>
      <c r="C851" s="16"/>
      <c r="D851" s="24"/>
      <c r="E851" s="25"/>
      <c r="F851" s="242"/>
    </row>
    <row r="852" spans="1:6" x14ac:dyDescent="0.2">
      <c r="A852" s="376"/>
      <c r="B852" s="26" t="s">
        <v>909</v>
      </c>
      <c r="C852" s="16"/>
      <c r="D852" s="24"/>
      <c r="E852" s="25"/>
      <c r="F852" s="242"/>
    </row>
    <row r="853" spans="1:6" ht="51" x14ac:dyDescent="0.2">
      <c r="A853" s="376"/>
      <c r="B853" s="26" t="s">
        <v>1390</v>
      </c>
      <c r="C853" s="25"/>
      <c r="D853" s="64">
        <f>4*2+5.06+1.56+2.04+4.26+4.12+4.36+1.46+4.12+0.2*(8.37+8.36+4.86+8.37+8.45+9.25+5.13+11.08+6.04+8.33+8.25)+1.8*(0.8*2*8+1.65*8)</f>
        <v>99.078000000000003</v>
      </c>
      <c r="E853" s="25"/>
      <c r="F853" s="242"/>
    </row>
    <row r="854" spans="1:6" x14ac:dyDescent="0.2">
      <c r="A854" s="376"/>
      <c r="B854" s="26"/>
      <c r="C854" s="25"/>
      <c r="D854" s="112"/>
      <c r="E854" s="25"/>
      <c r="F854" s="242"/>
    </row>
    <row r="855" spans="1:6" x14ac:dyDescent="0.2">
      <c r="A855" s="376"/>
      <c r="B855" s="25" t="s">
        <v>184</v>
      </c>
      <c r="C855" s="16" t="s">
        <v>37</v>
      </c>
      <c r="D855" s="64">
        <f>SUM(D844:D854)</f>
        <v>488.39599999999996</v>
      </c>
      <c r="E855" s="30"/>
      <c r="F855" s="215">
        <f>D855*E855</f>
        <v>0</v>
      </c>
    </row>
    <row r="856" spans="1:6" s="82" customFormat="1" x14ac:dyDescent="0.2">
      <c r="A856" s="376"/>
      <c r="B856" s="26"/>
      <c r="C856" s="66"/>
      <c r="D856" s="29"/>
      <c r="E856" s="23"/>
      <c r="F856" s="219"/>
    </row>
    <row r="857" spans="1:6" x14ac:dyDescent="0.2">
      <c r="A857" s="221" t="s">
        <v>146</v>
      </c>
      <c r="B857" s="88" t="s">
        <v>733</v>
      </c>
      <c r="C857" s="25"/>
      <c r="D857" s="25"/>
      <c r="E857" s="25"/>
      <c r="F857" s="242"/>
    </row>
    <row r="858" spans="1:6" x14ac:dyDescent="0.2">
      <c r="A858" s="213"/>
      <c r="B858" s="25" t="s">
        <v>26</v>
      </c>
      <c r="C858" s="25"/>
      <c r="D858" s="25"/>
      <c r="E858" s="25"/>
      <c r="F858" s="242"/>
    </row>
    <row r="859" spans="1:6" x14ac:dyDescent="0.2">
      <c r="A859" s="213"/>
      <c r="B859" s="26" t="s">
        <v>415</v>
      </c>
      <c r="C859" s="25"/>
      <c r="D859" s="25">
        <f>3.51*4+4.1+4.2+0.3*(8.27*4+8+8.27)</f>
        <v>37.144999999999996</v>
      </c>
      <c r="E859" s="25"/>
      <c r="F859" s="242"/>
    </row>
    <row r="860" spans="1:6" x14ac:dyDescent="0.2">
      <c r="A860" s="213"/>
      <c r="B860" s="25"/>
      <c r="C860" s="25"/>
      <c r="D860" s="25"/>
      <c r="E860" s="25"/>
      <c r="F860" s="242"/>
    </row>
    <row r="861" spans="1:6" x14ac:dyDescent="0.2">
      <c r="A861" s="213"/>
      <c r="B861" s="25" t="s">
        <v>898</v>
      </c>
      <c r="C861" s="25"/>
      <c r="D861" s="25"/>
      <c r="E861" s="25"/>
      <c r="F861" s="242"/>
    </row>
    <row r="862" spans="1:6" ht="13.5" thickBot="1" x14ac:dyDescent="0.25">
      <c r="A862" s="382"/>
      <c r="B862" s="285" t="s">
        <v>416</v>
      </c>
      <c r="C862" s="71"/>
      <c r="D862" s="71">
        <f>3.51*6+4.1+4.2+0.3*(8.27*6+8+8.27)</f>
        <v>49.126999999999995</v>
      </c>
      <c r="E862" s="71"/>
      <c r="F862" s="380"/>
    </row>
    <row r="863" spans="1:6" x14ac:dyDescent="0.2">
      <c r="A863" s="213"/>
      <c r="B863" s="25"/>
      <c r="C863" s="25"/>
      <c r="D863" s="25"/>
      <c r="E863" s="25"/>
      <c r="F863" s="242"/>
    </row>
    <row r="864" spans="1:6" x14ac:dyDescent="0.2">
      <c r="A864" s="213"/>
      <c r="B864" s="25" t="s">
        <v>899</v>
      </c>
      <c r="C864" s="25"/>
      <c r="D864" s="25"/>
      <c r="E864" s="25"/>
      <c r="F864" s="242"/>
    </row>
    <row r="865" spans="1:11" ht="25.5" x14ac:dyDescent="0.2">
      <c r="A865" s="213"/>
      <c r="B865" s="26" t="s">
        <v>1379</v>
      </c>
      <c r="C865" s="25"/>
      <c r="D865" s="65">
        <f>(3.51*6+4.1+4.2)*3+0.3*(8.27*6+8+8.27)*2</f>
        <v>127.61399999999998</v>
      </c>
      <c r="E865" s="25"/>
      <c r="F865" s="242"/>
    </row>
    <row r="866" spans="1:11" x14ac:dyDescent="0.2">
      <c r="A866" s="213"/>
      <c r="B866" s="88"/>
      <c r="C866" s="25"/>
      <c r="D866" s="25"/>
      <c r="E866" s="25"/>
      <c r="F866" s="242"/>
    </row>
    <row r="867" spans="1:11" x14ac:dyDescent="0.2">
      <c r="A867" s="213"/>
      <c r="B867" s="26" t="s">
        <v>909</v>
      </c>
      <c r="C867" s="25"/>
      <c r="D867" s="25"/>
      <c r="E867" s="25"/>
      <c r="F867" s="242"/>
    </row>
    <row r="868" spans="1:11" x14ac:dyDescent="0.2">
      <c r="A868" s="213"/>
      <c r="B868" s="26" t="s">
        <v>416</v>
      </c>
      <c r="C868" s="25"/>
      <c r="D868" s="25">
        <f>3.51*6+4.1+4.2+0.3*(8.27*6+8+8.27)</f>
        <v>49.126999999999995</v>
      </c>
      <c r="E868" s="25"/>
      <c r="F868" s="242"/>
    </row>
    <row r="869" spans="1:11" x14ac:dyDescent="0.2">
      <c r="A869" s="213"/>
      <c r="B869" s="88"/>
      <c r="C869" s="25"/>
      <c r="D869" s="25"/>
      <c r="E869" s="25"/>
      <c r="F869" s="242"/>
    </row>
    <row r="870" spans="1:11" x14ac:dyDescent="0.2">
      <c r="A870" s="213"/>
      <c r="B870" s="25" t="s">
        <v>118</v>
      </c>
      <c r="C870" s="16" t="s">
        <v>37</v>
      </c>
      <c r="D870" s="29">
        <f>SUM(D859:D869)</f>
        <v>263.01299999999998</v>
      </c>
      <c r="E870" s="30"/>
      <c r="F870" s="409">
        <f>+D870*E870</f>
        <v>0</v>
      </c>
    </row>
    <row r="871" spans="1:11" x14ac:dyDescent="0.2">
      <c r="A871" s="376"/>
      <c r="B871" s="15"/>
      <c r="C871" s="66"/>
      <c r="D871" s="29"/>
      <c r="E871" s="23"/>
      <c r="F871" s="219"/>
    </row>
    <row r="872" spans="1:11" ht="63.75" x14ac:dyDescent="0.2">
      <c r="A872" s="213" t="s">
        <v>2</v>
      </c>
      <c r="B872" s="157" t="s">
        <v>417</v>
      </c>
      <c r="C872" s="66"/>
      <c r="D872" s="29"/>
      <c r="E872" s="23"/>
      <c r="F872" s="219"/>
      <c r="G872" s="96"/>
      <c r="H872" s="101"/>
      <c r="I872" s="107"/>
      <c r="J872" s="82"/>
      <c r="K872" s="82"/>
    </row>
    <row r="873" spans="1:11" ht="63.75" x14ac:dyDescent="0.2">
      <c r="A873" s="213"/>
      <c r="B873" s="157" t="s">
        <v>418</v>
      </c>
      <c r="C873" s="66"/>
      <c r="D873" s="29"/>
      <c r="E873" s="23"/>
      <c r="F873" s="219"/>
      <c r="G873" s="96"/>
      <c r="H873" s="101"/>
      <c r="I873" s="107"/>
      <c r="J873" s="82"/>
      <c r="K873" s="82"/>
    </row>
    <row r="874" spans="1:11" ht="76.5" x14ac:dyDescent="0.2">
      <c r="A874" s="213"/>
      <c r="B874" s="1" t="s">
        <v>419</v>
      </c>
      <c r="C874" s="66"/>
      <c r="D874" s="29"/>
      <c r="E874" s="23"/>
      <c r="F874" s="219"/>
      <c r="G874" s="96"/>
      <c r="H874" s="101"/>
      <c r="I874" s="107"/>
      <c r="J874" s="82"/>
      <c r="K874" s="82"/>
    </row>
    <row r="875" spans="1:11" ht="63.75" x14ac:dyDescent="0.2">
      <c r="A875" s="213"/>
      <c r="B875" s="1" t="s">
        <v>420</v>
      </c>
      <c r="C875" s="66"/>
      <c r="D875" s="29"/>
      <c r="E875" s="23"/>
      <c r="F875" s="219"/>
      <c r="G875" s="96"/>
      <c r="H875" s="101"/>
      <c r="I875" s="107"/>
      <c r="J875" s="82"/>
      <c r="K875" s="82"/>
    </row>
    <row r="876" spans="1:11" s="82" customFormat="1" ht="114.75" x14ac:dyDescent="0.2">
      <c r="A876" s="213"/>
      <c r="B876" s="88" t="s">
        <v>421</v>
      </c>
      <c r="C876" s="66"/>
      <c r="D876" s="25"/>
      <c r="E876" s="23"/>
      <c r="F876" s="219"/>
      <c r="G876" s="96"/>
      <c r="H876" s="101"/>
      <c r="I876" s="107"/>
    </row>
    <row r="877" spans="1:11" s="82" customFormat="1" ht="63.75" x14ac:dyDescent="0.2">
      <c r="A877" s="213"/>
      <c r="B877" s="88" t="s">
        <v>422</v>
      </c>
      <c r="C877" s="66"/>
      <c r="D877" s="29"/>
      <c r="E877" s="23"/>
      <c r="F877" s="219"/>
      <c r="G877" s="96"/>
      <c r="H877" s="101"/>
      <c r="I877" s="107"/>
    </row>
    <row r="878" spans="1:11" x14ac:dyDescent="0.2">
      <c r="A878" s="213"/>
      <c r="B878" s="410" t="s">
        <v>423</v>
      </c>
      <c r="C878" s="66"/>
      <c r="D878" s="29"/>
      <c r="E878" s="23"/>
      <c r="F878" s="219"/>
      <c r="G878" s="96"/>
      <c r="H878" s="101"/>
      <c r="I878" s="107"/>
      <c r="J878" s="82"/>
      <c r="K878" s="82"/>
    </row>
    <row r="879" spans="1:11" ht="90" thickBot="1" x14ac:dyDescent="0.25">
      <c r="A879" s="382"/>
      <c r="B879" s="314" t="s">
        <v>424</v>
      </c>
      <c r="C879" s="290"/>
      <c r="D879" s="303"/>
      <c r="E879" s="300"/>
      <c r="F879" s="283"/>
      <c r="G879" s="96"/>
      <c r="H879" s="101"/>
      <c r="I879" s="107"/>
      <c r="J879" s="82"/>
      <c r="K879" s="82"/>
    </row>
    <row r="880" spans="1:11" x14ac:dyDescent="0.2">
      <c r="A880" s="213"/>
      <c r="B880" s="411"/>
      <c r="C880" s="66"/>
      <c r="D880" s="29"/>
      <c r="E880" s="23"/>
      <c r="F880" s="219"/>
      <c r="G880" s="96"/>
      <c r="H880" s="101"/>
      <c r="I880" s="107"/>
      <c r="J880" s="82"/>
      <c r="K880" s="82"/>
    </row>
    <row r="881" spans="1:11" ht="51" x14ac:dyDescent="0.2">
      <c r="A881" s="213"/>
      <c r="B881" s="1" t="s">
        <v>425</v>
      </c>
      <c r="C881" s="66"/>
      <c r="D881" s="29"/>
      <c r="E881" s="23"/>
      <c r="F881" s="219"/>
      <c r="G881" s="96"/>
      <c r="H881" s="101"/>
      <c r="I881" s="107"/>
      <c r="J881" s="82"/>
      <c r="K881" s="82"/>
    </row>
    <row r="882" spans="1:11" ht="76.5" x14ac:dyDescent="0.2">
      <c r="A882" s="213"/>
      <c r="B882" s="88" t="s">
        <v>426</v>
      </c>
      <c r="C882" s="66"/>
      <c r="D882" s="29"/>
      <c r="E882" s="23"/>
      <c r="F882" s="219"/>
      <c r="G882" s="96"/>
      <c r="H882" s="101"/>
      <c r="I882" s="107"/>
      <c r="J882" s="82"/>
      <c r="K882" s="82"/>
    </row>
    <row r="883" spans="1:11" ht="76.5" x14ac:dyDescent="0.2">
      <c r="A883" s="213"/>
      <c r="B883" s="88" t="s">
        <v>427</v>
      </c>
      <c r="C883" s="66"/>
      <c r="D883" s="29"/>
      <c r="E883" s="23"/>
      <c r="F883" s="219"/>
      <c r="G883" s="96"/>
      <c r="H883" s="101"/>
      <c r="I883" s="107"/>
      <c r="J883" s="82"/>
      <c r="K883" s="82"/>
    </row>
    <row r="884" spans="1:11" ht="25.5" x14ac:dyDescent="0.2">
      <c r="A884" s="213"/>
      <c r="B884" s="1" t="s">
        <v>428</v>
      </c>
      <c r="C884" s="66"/>
      <c r="D884" s="29"/>
      <c r="E884" s="23"/>
      <c r="F884" s="219"/>
      <c r="G884" s="96"/>
      <c r="H884" s="101"/>
      <c r="I884" s="107"/>
      <c r="J884" s="82"/>
      <c r="K884" s="82"/>
    </row>
    <row r="885" spans="1:11" ht="89.25" x14ac:dyDescent="0.2">
      <c r="A885" s="412"/>
      <c r="B885" s="88" t="s">
        <v>429</v>
      </c>
      <c r="C885" s="66"/>
      <c r="D885" s="29"/>
      <c r="E885" s="23"/>
      <c r="F885" s="219"/>
      <c r="G885" s="82"/>
      <c r="H885" s="82"/>
      <c r="I885" s="11"/>
      <c r="J885" s="82"/>
      <c r="K885" s="82"/>
    </row>
    <row r="886" spans="1:11" ht="63.75" x14ac:dyDescent="0.2">
      <c r="A886" s="213"/>
      <c r="B886" s="88" t="s">
        <v>430</v>
      </c>
      <c r="C886" s="25"/>
      <c r="D886" s="25"/>
      <c r="E886" s="25"/>
      <c r="F886" s="215"/>
      <c r="G886" s="82"/>
      <c r="H886" s="82"/>
      <c r="I886" s="11"/>
      <c r="J886" s="82"/>
      <c r="K886" s="82"/>
    </row>
    <row r="887" spans="1:11" ht="63.75" x14ac:dyDescent="0.2">
      <c r="A887" s="376"/>
      <c r="B887" s="88" t="s">
        <v>431</v>
      </c>
      <c r="C887" s="25"/>
      <c r="D887" s="65"/>
      <c r="E887" s="25"/>
      <c r="F887" s="215"/>
      <c r="G887" s="82"/>
      <c r="H887" s="82"/>
      <c r="I887" s="11"/>
      <c r="J887" s="82"/>
      <c r="K887" s="82"/>
    </row>
    <row r="888" spans="1:11" ht="63.75" x14ac:dyDescent="0.2">
      <c r="A888" s="376"/>
      <c r="B888" s="82" t="s">
        <v>432</v>
      </c>
      <c r="C888" s="25"/>
      <c r="D888" s="25"/>
      <c r="E888" s="25"/>
      <c r="F888" s="215"/>
      <c r="G888" s="82"/>
      <c r="H888" s="82"/>
      <c r="I888" s="11"/>
      <c r="J888" s="82"/>
      <c r="K888" s="82"/>
    </row>
    <row r="889" spans="1:11" ht="102" x14ac:dyDescent="0.2">
      <c r="A889" s="376"/>
      <c r="B889" s="88" t="s">
        <v>436</v>
      </c>
      <c r="C889" s="25"/>
      <c r="D889" s="64"/>
      <c r="E889" s="25"/>
      <c r="F889" s="215"/>
      <c r="G889" s="82"/>
      <c r="H889" s="82"/>
      <c r="I889" s="11"/>
      <c r="J889" s="82"/>
      <c r="K889" s="82"/>
    </row>
    <row r="890" spans="1:11" ht="39" thickBot="1" x14ac:dyDescent="0.25">
      <c r="A890" s="388"/>
      <c r="B890" s="315" t="s">
        <v>437</v>
      </c>
      <c r="C890" s="71"/>
      <c r="D890" s="292"/>
      <c r="E890" s="295"/>
      <c r="F890" s="358">
        <f>D890*E890</f>
        <v>0</v>
      </c>
      <c r="G890" s="82"/>
      <c r="H890" s="82"/>
      <c r="I890" s="11"/>
      <c r="J890" s="82"/>
      <c r="K890" s="82"/>
    </row>
    <row r="891" spans="1:11" x14ac:dyDescent="0.2">
      <c r="A891" s="376"/>
      <c r="B891" s="88"/>
      <c r="C891" s="25"/>
      <c r="D891" s="64"/>
      <c r="E891" s="30"/>
      <c r="F891" s="215"/>
      <c r="G891" s="82"/>
      <c r="H891" s="82"/>
      <c r="I891" s="11"/>
      <c r="J891" s="82"/>
      <c r="K891" s="82"/>
    </row>
    <row r="892" spans="1:11" s="82" customFormat="1" ht="51" x14ac:dyDescent="0.2">
      <c r="A892" s="376"/>
      <c r="B892" s="35" t="s">
        <v>206</v>
      </c>
      <c r="C892" s="25"/>
      <c r="D892" s="64"/>
      <c r="E892" s="30"/>
      <c r="F892" s="215"/>
      <c r="I892" s="11"/>
    </row>
    <row r="893" spans="1:11" s="82" customFormat="1" ht="25.5" x14ac:dyDescent="0.2">
      <c r="A893" s="376"/>
      <c r="B893" s="88" t="s">
        <v>433</v>
      </c>
      <c r="C893" s="25"/>
      <c r="D893" s="64"/>
      <c r="E893" s="30"/>
      <c r="F893" s="215"/>
      <c r="I893" s="11"/>
    </row>
    <row r="894" spans="1:11" s="82" customFormat="1" ht="102" x14ac:dyDescent="0.2">
      <c r="A894" s="376"/>
      <c r="B894" s="88" t="s">
        <v>434</v>
      </c>
      <c r="C894" s="25"/>
      <c r="D894" s="64"/>
      <c r="E894" s="30"/>
      <c r="F894" s="215"/>
      <c r="I894" s="11"/>
    </row>
    <row r="895" spans="1:11" s="82" customFormat="1" ht="51" x14ac:dyDescent="0.2">
      <c r="A895" s="376"/>
      <c r="B895" s="82" t="s">
        <v>435</v>
      </c>
      <c r="C895" s="25"/>
      <c r="D895" s="64"/>
      <c r="E895" s="30"/>
      <c r="F895" s="215"/>
      <c r="I895" s="11"/>
    </row>
    <row r="896" spans="1:11" s="82" customFormat="1" ht="25.5" x14ac:dyDescent="0.2">
      <c r="A896" s="376"/>
      <c r="B896" s="157" t="s">
        <v>115</v>
      </c>
      <c r="C896" s="25"/>
      <c r="D896" s="64"/>
      <c r="E896" s="30"/>
      <c r="F896" s="215"/>
      <c r="I896" s="11"/>
    </row>
    <row r="897" spans="1:11" s="82" customFormat="1" ht="25.5" x14ac:dyDescent="0.2">
      <c r="A897" s="376"/>
      <c r="B897" s="35" t="s">
        <v>784</v>
      </c>
      <c r="C897" s="25"/>
      <c r="D897" s="64"/>
      <c r="E897" s="30"/>
      <c r="F897" s="215"/>
      <c r="I897" s="11"/>
    </row>
    <row r="898" spans="1:11" s="82" customFormat="1" x14ac:dyDescent="0.2">
      <c r="A898" s="376"/>
      <c r="B898" s="20"/>
      <c r="C898" s="16"/>
      <c r="D898" s="64"/>
      <c r="E898" s="30"/>
      <c r="F898" s="215"/>
      <c r="G898" s="182"/>
      <c r="H898" s="95"/>
      <c r="I898" s="11"/>
    </row>
    <row r="899" spans="1:11" s="82" customFormat="1" x14ac:dyDescent="0.2">
      <c r="A899" s="412" t="s">
        <v>1481</v>
      </c>
      <c r="B899" s="21" t="s">
        <v>1092</v>
      </c>
      <c r="C899" s="16"/>
      <c r="D899" s="64"/>
      <c r="E899" s="30"/>
      <c r="F899" s="215"/>
      <c r="G899" s="182"/>
      <c r="H899" s="95"/>
      <c r="I899" s="11"/>
    </row>
    <row r="900" spans="1:11" s="82" customFormat="1" x14ac:dyDescent="0.2">
      <c r="A900" s="376"/>
      <c r="B900" s="20" t="s">
        <v>1093</v>
      </c>
      <c r="C900" s="16"/>
      <c r="D900" s="64"/>
      <c r="E900" s="30"/>
      <c r="F900" s="215"/>
      <c r="G900" s="182"/>
      <c r="H900" s="95"/>
      <c r="I900" s="11"/>
    </row>
    <row r="901" spans="1:11" s="82" customFormat="1" x14ac:dyDescent="0.2">
      <c r="A901" s="376"/>
      <c r="B901" s="24" t="s">
        <v>1094</v>
      </c>
      <c r="C901" s="16" t="s">
        <v>37</v>
      </c>
      <c r="D901" s="24">
        <f>2.77*4.52</f>
        <v>12.520399999999999</v>
      </c>
      <c r="E901" s="20"/>
      <c r="F901" s="215">
        <f>D901*E901</f>
        <v>0</v>
      </c>
      <c r="G901" s="182"/>
      <c r="H901" s="95"/>
      <c r="I901" s="11"/>
    </row>
    <row r="902" spans="1:11" s="82" customFormat="1" x14ac:dyDescent="0.2">
      <c r="A902" s="376"/>
      <c r="B902" s="20"/>
      <c r="C902" s="16"/>
      <c r="D902" s="64"/>
      <c r="E902" s="30"/>
      <c r="F902" s="215"/>
      <c r="G902" s="182"/>
      <c r="H902" s="95"/>
      <c r="I902" s="11"/>
    </row>
    <row r="903" spans="1:11" s="82" customFormat="1" x14ac:dyDescent="0.2">
      <c r="A903" s="412" t="s">
        <v>1482</v>
      </c>
      <c r="B903" s="21" t="s">
        <v>439</v>
      </c>
      <c r="C903" s="25"/>
      <c r="D903" s="64"/>
      <c r="E903" s="30"/>
      <c r="F903" s="215"/>
      <c r="G903" s="96"/>
      <c r="H903" s="101"/>
      <c r="I903" s="107"/>
    </row>
    <row r="904" spans="1:11" x14ac:dyDescent="0.2">
      <c r="A904" s="412"/>
      <c r="B904" s="20" t="s">
        <v>136</v>
      </c>
      <c r="C904" s="66"/>
      <c r="D904" s="29"/>
      <c r="E904" s="23"/>
      <c r="F904" s="219"/>
      <c r="G904" s="96"/>
      <c r="H904" s="101"/>
      <c r="I904" s="107"/>
      <c r="J904" s="82"/>
      <c r="K904" s="82"/>
    </row>
    <row r="905" spans="1:11" x14ac:dyDescent="0.2">
      <c r="A905" s="376"/>
      <c r="B905" s="12" t="s">
        <v>440</v>
      </c>
      <c r="C905" s="25"/>
      <c r="D905" s="25"/>
      <c r="E905" s="25"/>
      <c r="F905" s="215"/>
      <c r="G905" s="96"/>
      <c r="H905" s="101"/>
      <c r="I905" s="107"/>
      <c r="J905" s="82"/>
      <c r="K905" s="82"/>
    </row>
    <row r="906" spans="1:11" x14ac:dyDescent="0.2">
      <c r="A906" s="376"/>
      <c r="B906" s="26"/>
      <c r="C906" s="25"/>
      <c r="D906" s="103"/>
      <c r="E906" s="25"/>
      <c r="F906" s="215"/>
      <c r="G906" s="82"/>
      <c r="H906" s="82"/>
      <c r="I906" s="11"/>
      <c r="J906" s="82"/>
      <c r="K906" s="82"/>
    </row>
    <row r="907" spans="1:11" ht="102" x14ac:dyDescent="0.2">
      <c r="A907" s="376"/>
      <c r="B907" s="26" t="s">
        <v>1095</v>
      </c>
      <c r="C907" s="16" t="s">
        <v>37</v>
      </c>
      <c r="D907" s="64">
        <f>15.7*(35.99+8.37+1.8+14.95+0.4+3.01+0.4+9.66+5.45+1.8+0.25*2)-(5.56*2.45+2.4*2.3*10+1*1.6*92+1.6*1.8*63+1.38*2.4*10+0.9*2.5*29+1*1.5*22+1.5*1.8*4+2.77*2.45*4)+2.8*(2.47+2.18)*10+2.69*(3.3+5.77+4.08+0.97)-3*2.67+15.7*13.45*2+1.69*6.73/2*2-(1*1.6*9+1*0.6*5+1.2*2.4*5)</f>
        <v>1287.8795</v>
      </c>
      <c r="E907" s="20"/>
      <c r="F907" s="215">
        <f>D907*E907</f>
        <v>0</v>
      </c>
      <c r="G907" s="82"/>
      <c r="H907" s="82"/>
      <c r="I907" s="11"/>
      <c r="J907" s="82"/>
      <c r="K907" s="82"/>
    </row>
    <row r="908" spans="1:11" s="82" customFormat="1" x14ac:dyDescent="0.2">
      <c r="A908" s="376"/>
      <c r="B908" s="25"/>
      <c r="C908" s="27"/>
      <c r="D908" s="64"/>
      <c r="E908" s="30"/>
      <c r="F908" s="215"/>
      <c r="G908" s="85"/>
      <c r="H908" s="95"/>
      <c r="I908" s="11"/>
    </row>
    <row r="909" spans="1:11" s="82" customFormat="1" x14ac:dyDescent="0.2">
      <c r="A909" s="221" t="s">
        <v>575</v>
      </c>
      <c r="B909" s="21" t="s">
        <v>441</v>
      </c>
      <c r="C909" s="16"/>
      <c r="D909" s="26"/>
      <c r="E909" s="23"/>
      <c r="F909" s="215"/>
      <c r="G909" s="85"/>
      <c r="H909" s="95"/>
      <c r="I909" s="11"/>
    </row>
    <row r="910" spans="1:11" s="82" customFormat="1" x14ac:dyDescent="0.2">
      <c r="A910" s="216"/>
      <c r="B910" s="20" t="s">
        <v>442</v>
      </c>
      <c r="C910" s="16"/>
      <c r="D910" s="26"/>
      <c r="E910" s="23"/>
      <c r="F910" s="215"/>
      <c r="G910" s="85"/>
      <c r="H910" s="95"/>
      <c r="I910" s="11"/>
    </row>
    <row r="911" spans="1:11" s="82" customFormat="1" x14ac:dyDescent="0.2">
      <c r="A911" s="216"/>
      <c r="B911" s="24" t="s">
        <v>814</v>
      </c>
      <c r="C911" s="16" t="s">
        <v>37</v>
      </c>
      <c r="D911" s="26">
        <f>1.55*(1*22+1.8*4)</f>
        <v>45.26</v>
      </c>
      <c r="E911" s="20"/>
      <c r="F911" s="215">
        <f>D911*E911</f>
        <v>0</v>
      </c>
      <c r="G911" s="85"/>
      <c r="H911" s="95"/>
      <c r="I911" s="11"/>
    </row>
    <row r="912" spans="1:11" s="82" customFormat="1" x14ac:dyDescent="0.2">
      <c r="A912" s="376"/>
      <c r="B912" s="25"/>
      <c r="C912" s="27"/>
      <c r="D912" s="64"/>
      <c r="E912" s="30"/>
      <c r="F912" s="215"/>
      <c r="G912" s="85"/>
      <c r="H912" s="95"/>
      <c r="I912" s="11"/>
    </row>
    <row r="913" spans="1:9" s="82" customFormat="1" x14ac:dyDescent="0.2">
      <c r="A913" s="221" t="s">
        <v>981</v>
      </c>
      <c r="B913" s="21" t="s">
        <v>443</v>
      </c>
      <c r="C913" s="16"/>
      <c r="D913" s="26"/>
      <c r="E913" s="23"/>
      <c r="F913" s="215"/>
      <c r="G913" s="85"/>
      <c r="H913" s="95"/>
      <c r="I913" s="11"/>
    </row>
    <row r="914" spans="1:9" s="82" customFormat="1" x14ac:dyDescent="0.2">
      <c r="A914" s="216"/>
      <c r="B914" s="20" t="s">
        <v>444</v>
      </c>
      <c r="C914" s="16"/>
      <c r="D914" s="26"/>
      <c r="E914" s="23"/>
      <c r="F914" s="215"/>
      <c r="G914" s="85"/>
      <c r="H914" s="95"/>
      <c r="I914" s="11"/>
    </row>
    <row r="915" spans="1:9" s="82" customFormat="1" x14ac:dyDescent="0.2">
      <c r="A915" s="216"/>
      <c r="B915" s="24" t="s">
        <v>815</v>
      </c>
      <c r="C915" s="16" t="s">
        <v>37</v>
      </c>
      <c r="D915" s="26">
        <f>2.69*1.88*2*5</f>
        <v>50.572000000000003</v>
      </c>
      <c r="E915" s="20"/>
      <c r="F915" s="215">
        <f>D915*E915</f>
        <v>0</v>
      </c>
      <c r="G915" s="85"/>
      <c r="H915" s="95"/>
      <c r="I915" s="11"/>
    </row>
    <row r="916" spans="1:9" s="82" customFormat="1" x14ac:dyDescent="0.2">
      <c r="A916" s="376"/>
      <c r="B916" s="25"/>
      <c r="C916" s="27"/>
      <c r="D916" s="64"/>
      <c r="E916" s="30"/>
      <c r="F916" s="215"/>
      <c r="G916" s="85"/>
      <c r="H916" s="95"/>
      <c r="I916" s="11"/>
    </row>
    <row r="917" spans="1:9" s="82" customFormat="1" x14ac:dyDescent="0.2">
      <c r="A917" s="221" t="s">
        <v>979</v>
      </c>
      <c r="B917" s="21" t="s">
        <v>443</v>
      </c>
      <c r="C917" s="16"/>
      <c r="D917" s="112"/>
      <c r="E917" s="23"/>
      <c r="F917" s="215"/>
      <c r="G917" s="85"/>
      <c r="H917" s="95"/>
      <c r="I917" s="11"/>
    </row>
    <row r="918" spans="1:9" s="82" customFormat="1" ht="26.25" thickBot="1" x14ac:dyDescent="0.25">
      <c r="A918" s="316"/>
      <c r="B918" s="317" t="s">
        <v>982</v>
      </c>
      <c r="C918" s="318"/>
      <c r="D918" s="309"/>
      <c r="E918" s="319"/>
      <c r="F918" s="320"/>
      <c r="G918" s="85"/>
      <c r="H918" s="95"/>
      <c r="I918" s="11"/>
    </row>
    <row r="919" spans="1:9" s="82" customFormat="1" x14ac:dyDescent="0.2">
      <c r="A919" s="216"/>
      <c r="B919" s="20"/>
      <c r="C919" s="16"/>
      <c r="D919" s="112"/>
      <c r="E919" s="23"/>
      <c r="F919" s="215"/>
      <c r="G919" s="85"/>
      <c r="H919" s="95"/>
      <c r="I919" s="11"/>
    </row>
    <row r="920" spans="1:9" s="82" customFormat="1" x14ac:dyDescent="0.2">
      <c r="A920" s="216"/>
      <c r="B920" s="20" t="s">
        <v>897</v>
      </c>
      <c r="C920" s="16"/>
      <c r="D920" s="112"/>
      <c r="E920" s="23"/>
      <c r="F920" s="215"/>
      <c r="G920" s="85"/>
      <c r="H920" s="95"/>
      <c r="I920" s="11"/>
    </row>
    <row r="921" spans="1:9" s="82" customFormat="1" ht="25.5" x14ac:dyDescent="0.2">
      <c r="A921" s="216"/>
      <c r="B921" s="24" t="s">
        <v>983</v>
      </c>
      <c r="C921" s="16" t="s">
        <v>37</v>
      </c>
      <c r="D921" s="56">
        <f>2.8*4*(0.8*2+0.3*2+1.25*2+0.35+0.8*2+0.3*2)</f>
        <v>81.199999999999989</v>
      </c>
      <c r="E921" s="20"/>
      <c r="F921" s="215">
        <f>D921*E921</f>
        <v>0</v>
      </c>
      <c r="G921" s="85"/>
      <c r="H921" s="95"/>
      <c r="I921" s="11"/>
    </row>
    <row r="922" spans="1:9" s="82" customFormat="1" x14ac:dyDescent="0.2">
      <c r="A922" s="216"/>
      <c r="B922" s="24"/>
      <c r="C922" s="16"/>
      <c r="D922" s="56"/>
      <c r="E922" s="20"/>
      <c r="F922" s="215"/>
      <c r="G922" s="85"/>
      <c r="H922" s="95"/>
      <c r="I922" s="11"/>
    </row>
    <row r="923" spans="1:9" s="82" customFormat="1" ht="25.5" x14ac:dyDescent="0.2">
      <c r="A923" s="216" t="s">
        <v>1091</v>
      </c>
      <c r="B923" s="20" t="s">
        <v>980</v>
      </c>
      <c r="C923" s="27"/>
      <c r="D923" s="64"/>
      <c r="E923" s="30"/>
      <c r="F923" s="215"/>
      <c r="G923" s="85"/>
      <c r="H923" s="95"/>
      <c r="I923" s="11"/>
    </row>
    <row r="924" spans="1:9" s="82" customFormat="1" x14ac:dyDescent="0.2">
      <c r="A924" s="376"/>
      <c r="B924" s="25" t="s">
        <v>26</v>
      </c>
      <c r="C924" s="16"/>
      <c r="D924" s="24"/>
      <c r="E924" s="30"/>
      <c r="F924" s="215"/>
      <c r="G924" s="85"/>
      <c r="H924" s="95"/>
      <c r="I924" s="11"/>
    </row>
    <row r="925" spans="1:9" s="82" customFormat="1" x14ac:dyDescent="0.2">
      <c r="A925" s="376"/>
      <c r="B925" s="26" t="s">
        <v>867</v>
      </c>
      <c r="C925" s="16"/>
      <c r="D925" s="24">
        <f>3.51*5+4.06+4.19+0.3*2.7*7</f>
        <v>31.47</v>
      </c>
      <c r="E925" s="30"/>
      <c r="F925" s="215"/>
      <c r="G925" s="85"/>
      <c r="H925" s="95"/>
      <c r="I925" s="11"/>
    </row>
    <row r="926" spans="1:9" s="82" customFormat="1" x14ac:dyDescent="0.2">
      <c r="A926" s="376"/>
      <c r="B926" s="25"/>
      <c r="C926" s="16"/>
      <c r="D926" s="24"/>
      <c r="E926" s="30"/>
      <c r="F926" s="215"/>
      <c r="G926" s="85"/>
      <c r="H926" s="95"/>
      <c r="I926" s="11"/>
    </row>
    <row r="927" spans="1:9" s="82" customFormat="1" x14ac:dyDescent="0.2">
      <c r="A927" s="376"/>
      <c r="B927" s="25" t="s">
        <v>898</v>
      </c>
      <c r="C927" s="16"/>
      <c r="D927" s="24"/>
      <c r="E927" s="30"/>
      <c r="F927" s="215"/>
      <c r="G927" s="85"/>
      <c r="H927" s="95"/>
      <c r="I927" s="11"/>
    </row>
    <row r="928" spans="1:9" s="82" customFormat="1" x14ac:dyDescent="0.2">
      <c r="A928" s="376"/>
      <c r="B928" s="26" t="s">
        <v>867</v>
      </c>
      <c r="C928" s="16"/>
      <c r="D928" s="24">
        <f>3.51*5+4.06+4.19+0.3*2.7*7</f>
        <v>31.47</v>
      </c>
      <c r="E928" s="30"/>
      <c r="F928" s="215"/>
      <c r="G928" s="85"/>
      <c r="H928" s="95"/>
      <c r="I928" s="11"/>
    </row>
    <row r="929" spans="1:9" s="82" customFormat="1" x14ac:dyDescent="0.2">
      <c r="A929" s="376"/>
      <c r="B929" s="25"/>
      <c r="C929" s="16"/>
      <c r="D929" s="24"/>
      <c r="E929" s="30"/>
      <c r="F929" s="215"/>
      <c r="G929" s="85"/>
      <c r="H929" s="95"/>
      <c r="I929" s="11"/>
    </row>
    <row r="930" spans="1:9" s="82" customFormat="1" x14ac:dyDescent="0.2">
      <c r="A930" s="376"/>
      <c r="B930" s="25" t="s">
        <v>899</v>
      </c>
      <c r="C930" s="16"/>
      <c r="D930" s="24"/>
      <c r="E930" s="30"/>
      <c r="F930" s="215"/>
      <c r="G930" s="85"/>
      <c r="H930" s="95"/>
      <c r="I930" s="11"/>
    </row>
    <row r="931" spans="1:9" s="82" customFormat="1" x14ac:dyDescent="0.2">
      <c r="A931" s="376"/>
      <c r="B931" s="26" t="s">
        <v>868</v>
      </c>
      <c r="C931" s="16"/>
      <c r="D931" s="24">
        <f>(3.51*5+4.06+4.19)*3+0.3*2.7*7*3</f>
        <v>94.41</v>
      </c>
      <c r="E931" s="30"/>
      <c r="F931" s="215"/>
      <c r="G931" s="85"/>
      <c r="H931" s="95"/>
      <c r="I931" s="11"/>
    </row>
    <row r="932" spans="1:9" s="82" customFormat="1" x14ac:dyDescent="0.2">
      <c r="A932" s="376"/>
      <c r="B932" s="25"/>
      <c r="C932" s="27"/>
      <c r="D932" s="64"/>
      <c r="E932" s="30"/>
      <c r="F932" s="215"/>
      <c r="G932" s="85"/>
      <c r="H932" s="95"/>
      <c r="I932" s="11"/>
    </row>
    <row r="933" spans="1:9" s="82" customFormat="1" x14ac:dyDescent="0.2">
      <c r="A933" s="376"/>
      <c r="B933" s="25" t="s">
        <v>909</v>
      </c>
      <c r="C933" s="27"/>
      <c r="D933" s="64"/>
      <c r="E933" s="30"/>
      <c r="F933" s="215"/>
      <c r="G933" s="85"/>
      <c r="H933" s="95"/>
      <c r="I933" s="11"/>
    </row>
    <row r="934" spans="1:9" s="82" customFormat="1" x14ac:dyDescent="0.2">
      <c r="A934" s="376"/>
      <c r="B934" s="26" t="s">
        <v>867</v>
      </c>
      <c r="C934" s="16"/>
      <c r="D934" s="24">
        <f>3.51*5+4.06+4.19+0.3*2.7*7</f>
        <v>31.47</v>
      </c>
      <c r="E934" s="30"/>
      <c r="F934" s="215"/>
      <c r="G934" s="85"/>
      <c r="H934" s="95"/>
      <c r="I934" s="11"/>
    </row>
    <row r="935" spans="1:9" s="82" customFormat="1" x14ac:dyDescent="0.2">
      <c r="A935" s="376"/>
      <c r="B935" s="25"/>
      <c r="C935" s="27"/>
      <c r="D935" s="64"/>
      <c r="E935" s="30"/>
      <c r="F935" s="215"/>
      <c r="G935" s="85"/>
      <c r="H935" s="95"/>
      <c r="I935" s="11"/>
    </row>
    <row r="936" spans="1:9" s="82" customFormat="1" x14ac:dyDescent="0.2">
      <c r="A936" s="376"/>
      <c r="B936" s="20" t="s">
        <v>1483</v>
      </c>
      <c r="C936" s="16" t="s">
        <v>37</v>
      </c>
      <c r="D936" s="29">
        <f>SUM(D925:D935)</f>
        <v>188.82</v>
      </c>
      <c r="E936" s="20"/>
      <c r="F936" s="215">
        <f>D936*E936</f>
        <v>0</v>
      </c>
      <c r="G936" s="85"/>
      <c r="H936" s="95"/>
      <c r="I936" s="11"/>
    </row>
    <row r="937" spans="1:9" s="82" customFormat="1" x14ac:dyDescent="0.2">
      <c r="A937" s="376"/>
      <c r="B937" s="20"/>
      <c r="C937" s="16"/>
      <c r="D937" s="29"/>
      <c r="E937" s="20"/>
      <c r="F937" s="215"/>
      <c r="G937" s="85"/>
      <c r="H937" s="95"/>
      <c r="I937" s="11"/>
    </row>
    <row r="938" spans="1:9" ht="38.25" x14ac:dyDescent="0.2">
      <c r="A938" s="213" t="s">
        <v>1484</v>
      </c>
      <c r="B938" s="138" t="s">
        <v>445</v>
      </c>
      <c r="C938" s="27"/>
      <c r="D938" s="64"/>
      <c r="E938" s="30"/>
      <c r="F938" s="215"/>
    </row>
    <row r="939" spans="1:9" ht="76.5" x14ac:dyDescent="0.2">
      <c r="A939" s="376" t="s">
        <v>993</v>
      </c>
      <c r="B939" s="20" t="s">
        <v>446</v>
      </c>
      <c r="C939" s="27"/>
      <c r="D939" s="64"/>
      <c r="E939" s="30"/>
      <c r="F939" s="215"/>
    </row>
    <row r="940" spans="1:9" ht="127.5" x14ac:dyDescent="0.2">
      <c r="A940" s="376"/>
      <c r="B940" s="88" t="s">
        <v>448</v>
      </c>
      <c r="C940" s="27"/>
      <c r="D940" s="64"/>
      <c r="E940" s="30"/>
      <c r="F940" s="215"/>
    </row>
    <row r="941" spans="1:9" ht="51" x14ac:dyDescent="0.2">
      <c r="A941" s="376"/>
      <c r="B941" s="35" t="s">
        <v>206</v>
      </c>
      <c r="C941" s="27"/>
      <c r="D941" s="64"/>
      <c r="E941" s="30"/>
      <c r="F941" s="215"/>
    </row>
    <row r="942" spans="1:9" ht="25.5" x14ac:dyDescent="0.2">
      <c r="A942" s="376"/>
      <c r="B942" s="35" t="s">
        <v>438</v>
      </c>
      <c r="C942" s="66"/>
      <c r="D942" s="29"/>
      <c r="E942" s="30"/>
      <c r="F942" s="215"/>
    </row>
    <row r="943" spans="1:9" x14ac:dyDescent="0.2">
      <c r="A943" s="412"/>
      <c r="B943" s="138"/>
      <c r="C943" s="66"/>
      <c r="D943" s="29"/>
      <c r="E943" s="30"/>
      <c r="F943" s="215"/>
    </row>
    <row r="944" spans="1:9" x14ac:dyDescent="0.2">
      <c r="A944" s="412"/>
      <c r="B944" s="20" t="s">
        <v>978</v>
      </c>
      <c r="C944" s="66"/>
      <c r="D944" s="29"/>
      <c r="E944" s="30"/>
      <c r="F944" s="215"/>
    </row>
    <row r="945" spans="1:9" x14ac:dyDescent="0.2">
      <c r="A945" s="376"/>
      <c r="B945" s="24" t="s">
        <v>984</v>
      </c>
      <c r="C945" s="16" t="s">
        <v>37</v>
      </c>
      <c r="D945" s="24">
        <f>0.5*146.13</f>
        <v>73.064999999999998</v>
      </c>
      <c r="E945" s="12"/>
      <c r="F945" s="215">
        <f>D945*E945</f>
        <v>0</v>
      </c>
    </row>
    <row r="946" spans="1:9" x14ac:dyDescent="0.2">
      <c r="A946" s="376"/>
      <c r="B946" s="10"/>
      <c r="C946" s="16"/>
      <c r="D946" s="26"/>
      <c r="E946" s="30"/>
      <c r="F946" s="215"/>
    </row>
    <row r="947" spans="1:9" ht="39" thickBot="1" x14ac:dyDescent="0.25">
      <c r="A947" s="306" t="s">
        <v>162</v>
      </c>
      <c r="B947" s="321" t="s">
        <v>985</v>
      </c>
      <c r="C947" s="318"/>
      <c r="D947" s="309"/>
      <c r="E947" s="322"/>
      <c r="F947" s="320"/>
    </row>
    <row r="948" spans="1:9" x14ac:dyDescent="0.2">
      <c r="A948" s="213"/>
      <c r="B948" s="10"/>
      <c r="C948" s="16"/>
      <c r="D948" s="112"/>
      <c r="E948" s="30"/>
      <c r="F948" s="215"/>
    </row>
    <row r="949" spans="1:9" ht="38.25" x14ac:dyDescent="0.2">
      <c r="A949" s="213"/>
      <c r="B949" s="10" t="s">
        <v>986</v>
      </c>
      <c r="C949" s="16"/>
      <c r="D949" s="112"/>
      <c r="E949" s="30"/>
      <c r="F949" s="215"/>
    </row>
    <row r="950" spans="1:9" ht="38.25" x14ac:dyDescent="0.2">
      <c r="A950" s="213"/>
      <c r="B950" s="10" t="s">
        <v>987</v>
      </c>
      <c r="C950" s="16"/>
      <c r="D950" s="112"/>
      <c r="E950" s="30"/>
      <c r="F950" s="215"/>
    </row>
    <row r="951" spans="1:9" ht="51" x14ac:dyDescent="0.2">
      <c r="A951" s="213"/>
      <c r="B951" s="35" t="s">
        <v>206</v>
      </c>
      <c r="C951" s="16"/>
      <c r="D951" s="112"/>
      <c r="E951" s="30"/>
      <c r="F951" s="215"/>
    </row>
    <row r="952" spans="1:9" ht="63.75" x14ac:dyDescent="0.2">
      <c r="A952" s="213"/>
      <c r="B952" s="1" t="s">
        <v>988</v>
      </c>
      <c r="C952" s="16"/>
      <c r="D952" s="112"/>
      <c r="E952" s="30"/>
      <c r="F952" s="215"/>
    </row>
    <row r="953" spans="1:9" ht="25.5" x14ac:dyDescent="0.2">
      <c r="A953" s="213"/>
      <c r="B953" s="35" t="s">
        <v>438</v>
      </c>
      <c r="C953" s="16"/>
      <c r="D953" s="112"/>
      <c r="E953" s="30"/>
      <c r="F953" s="215"/>
    </row>
    <row r="954" spans="1:9" x14ac:dyDescent="0.2">
      <c r="A954" s="213"/>
      <c r="B954" s="10"/>
      <c r="C954" s="16"/>
      <c r="D954" s="112"/>
      <c r="E954" s="30"/>
      <c r="F954" s="215"/>
    </row>
    <row r="955" spans="1:9" ht="25.5" x14ac:dyDescent="0.2">
      <c r="A955" s="213"/>
      <c r="B955" s="10" t="s">
        <v>950</v>
      </c>
      <c r="C955" s="16"/>
      <c r="D955" s="112"/>
      <c r="E955" s="30"/>
      <c r="F955" s="215"/>
    </row>
    <row r="956" spans="1:9" ht="89.25" x14ac:dyDescent="0.2">
      <c r="A956" s="213"/>
      <c r="B956" s="26" t="s">
        <v>1374</v>
      </c>
      <c r="C956" s="16" t="s">
        <v>37</v>
      </c>
      <c r="D956" s="64">
        <f>2.1*(3.95*2+6.09+1+3.72+2.95+0.6+2.56+0.375*22.62+2.8+3.15+2.8+2.72+1.7+3.92+1.63)+2.5*(8.17+5.37+2.657*2)+(2.5+1.99)/2*1.4*2+2.7*(2.95+2.7+2.95+2.9+3.3+3.1+6.5*2*2)-(2.7*2.4*6+1*1.6*10+1.8*1*6+1.8*1.6*3+1*1*8+1.8*1*6+1*0.6*2)</f>
        <v>186.87825000000004</v>
      </c>
      <c r="E956" s="20"/>
      <c r="F956" s="215">
        <f>D956*E956</f>
        <v>0</v>
      </c>
    </row>
    <row r="957" spans="1:9" x14ac:dyDescent="0.2">
      <c r="A957" s="376"/>
      <c r="B957" s="10"/>
      <c r="C957" s="16"/>
      <c r="D957" s="26"/>
      <c r="E957" s="30"/>
      <c r="F957" s="215"/>
    </row>
    <row r="958" spans="1:9" s="82" customFormat="1" ht="51" x14ac:dyDescent="0.2">
      <c r="A958" s="213" t="s">
        <v>3</v>
      </c>
      <c r="B958" s="157" t="s">
        <v>449</v>
      </c>
      <c r="C958" s="16"/>
      <c r="D958" s="26"/>
      <c r="E958" s="23"/>
      <c r="F958" s="215"/>
    </row>
    <row r="959" spans="1:9" ht="76.5" x14ac:dyDescent="0.2">
      <c r="A959" s="213"/>
      <c r="B959" s="1" t="s">
        <v>419</v>
      </c>
      <c r="C959" s="16"/>
      <c r="D959" s="26"/>
      <c r="E959" s="23"/>
      <c r="F959" s="215"/>
    </row>
    <row r="960" spans="1:9" ht="63.75" x14ac:dyDescent="0.2">
      <c r="A960" s="213"/>
      <c r="B960" s="1" t="s">
        <v>420</v>
      </c>
      <c r="C960" s="16"/>
      <c r="D960" s="26"/>
      <c r="E960" s="23"/>
      <c r="F960" s="215"/>
      <c r="G960" s="82"/>
      <c r="H960" s="82"/>
      <c r="I960" s="82"/>
    </row>
    <row r="961" spans="1:9" ht="115.5" thickBot="1" x14ac:dyDescent="0.25">
      <c r="A961" s="388"/>
      <c r="B961" s="315" t="s">
        <v>421</v>
      </c>
      <c r="C961" s="93"/>
      <c r="D961" s="285"/>
      <c r="E961" s="300"/>
      <c r="F961" s="358"/>
      <c r="G961" s="85"/>
      <c r="H961" s="107"/>
      <c r="I961" s="82"/>
    </row>
    <row r="962" spans="1:9" x14ac:dyDescent="0.2">
      <c r="A962" s="376"/>
      <c r="B962" s="88"/>
      <c r="C962" s="16"/>
      <c r="D962" s="26"/>
      <c r="E962" s="23"/>
      <c r="F962" s="215"/>
      <c r="G962" s="85"/>
      <c r="H962" s="107"/>
      <c r="I962" s="82"/>
    </row>
    <row r="963" spans="1:9" s="82" customFormat="1" ht="51" x14ac:dyDescent="0.2">
      <c r="A963" s="376"/>
      <c r="B963" s="35" t="s">
        <v>450</v>
      </c>
      <c r="C963" s="16"/>
      <c r="D963" s="26"/>
      <c r="E963" s="23"/>
      <c r="F963" s="215"/>
      <c r="G963" s="85"/>
      <c r="H963" s="107"/>
    </row>
    <row r="964" spans="1:9" s="82" customFormat="1" ht="51" x14ac:dyDescent="0.2">
      <c r="A964" s="376"/>
      <c r="B964" s="35" t="s">
        <v>206</v>
      </c>
      <c r="C964" s="16"/>
      <c r="D964" s="26"/>
      <c r="E964" s="23"/>
      <c r="F964" s="215"/>
      <c r="G964" s="85"/>
      <c r="H964" s="107"/>
    </row>
    <row r="965" spans="1:9" s="82" customFormat="1" ht="38.25" x14ac:dyDescent="0.2">
      <c r="A965" s="376"/>
      <c r="B965" s="35" t="s">
        <v>451</v>
      </c>
      <c r="C965" s="16"/>
      <c r="D965" s="26"/>
      <c r="E965" s="23"/>
      <c r="F965" s="215"/>
      <c r="G965" s="85"/>
      <c r="H965" s="107"/>
    </row>
    <row r="966" spans="1:9" s="82" customFormat="1" x14ac:dyDescent="0.2">
      <c r="A966" s="376"/>
      <c r="B966" s="20"/>
      <c r="C966" s="16"/>
      <c r="D966" s="26"/>
      <c r="E966" s="23"/>
      <c r="F966" s="215"/>
      <c r="G966" s="85"/>
      <c r="H966" s="107"/>
    </row>
    <row r="967" spans="1:9" s="82" customFormat="1" x14ac:dyDescent="0.2">
      <c r="A967" s="221" t="s">
        <v>264</v>
      </c>
      <c r="B967" s="21" t="s">
        <v>441</v>
      </c>
      <c r="C967" s="16"/>
      <c r="D967" s="26"/>
      <c r="E967" s="23"/>
      <c r="F967" s="215"/>
      <c r="G967" s="85"/>
      <c r="H967" s="107"/>
    </row>
    <row r="968" spans="1:9" s="82" customFormat="1" ht="25.5" x14ac:dyDescent="0.2">
      <c r="A968" s="376"/>
      <c r="B968" s="20" t="s">
        <v>452</v>
      </c>
      <c r="C968" s="16"/>
      <c r="D968" s="26"/>
      <c r="E968" s="23"/>
      <c r="F968" s="215"/>
      <c r="G968" s="85"/>
      <c r="H968" s="107"/>
    </row>
    <row r="969" spans="1:9" s="82" customFormat="1" ht="25.5" x14ac:dyDescent="0.2">
      <c r="A969" s="376"/>
      <c r="B969" s="20" t="s">
        <v>453</v>
      </c>
      <c r="C969" s="16"/>
      <c r="D969" s="26"/>
      <c r="E969" s="23"/>
      <c r="F969" s="215"/>
      <c r="G969" s="85"/>
      <c r="H969" s="107"/>
    </row>
    <row r="970" spans="1:9" s="82" customFormat="1" x14ac:dyDescent="0.2">
      <c r="A970" s="376"/>
      <c r="B970" s="20"/>
      <c r="C970" s="16"/>
      <c r="D970" s="26"/>
      <c r="E970" s="23"/>
      <c r="F970" s="215"/>
      <c r="G970" s="85"/>
      <c r="H970" s="107"/>
    </row>
    <row r="971" spans="1:9" s="82" customFormat="1" x14ac:dyDescent="0.2">
      <c r="A971" s="376"/>
      <c r="B971" s="25" t="s">
        <v>26</v>
      </c>
      <c r="C971" s="16"/>
      <c r="D971" s="26"/>
      <c r="E971" s="23"/>
      <c r="F971" s="215"/>
      <c r="G971" s="85"/>
      <c r="H971" s="107"/>
    </row>
    <row r="972" spans="1:9" s="82" customFormat="1" ht="38.25" x14ac:dyDescent="0.2">
      <c r="A972" s="376"/>
      <c r="B972" s="26" t="s">
        <v>1380</v>
      </c>
      <c r="C972" s="16"/>
      <c r="D972" s="64">
        <f>2.77*(29.05*2-2.85-2.88+1.65*2+2.38+2.9+4.4+5.3+6.6*2)-(1*2.1*9+1.18*2.05)</f>
        <v>210.94549999999998</v>
      </c>
      <c r="E972" s="23"/>
      <c r="F972" s="215"/>
      <c r="G972" s="85"/>
      <c r="H972" s="107"/>
    </row>
    <row r="973" spans="1:9" s="82" customFormat="1" x14ac:dyDescent="0.2">
      <c r="A973" s="376"/>
      <c r="B973" s="25"/>
      <c r="C973" s="16"/>
      <c r="D973" s="26"/>
      <c r="E973" s="23"/>
      <c r="F973" s="215"/>
      <c r="G973" s="85"/>
      <c r="H973" s="107"/>
    </row>
    <row r="974" spans="1:9" s="82" customFormat="1" x14ac:dyDescent="0.2">
      <c r="A974" s="376"/>
      <c r="B974" s="25" t="s">
        <v>898</v>
      </c>
      <c r="C974" s="16"/>
      <c r="D974" s="26"/>
      <c r="E974" s="23"/>
      <c r="F974" s="215"/>
      <c r="G974" s="85"/>
      <c r="H974" s="107"/>
    </row>
    <row r="975" spans="1:9" s="82" customFormat="1" ht="25.5" x14ac:dyDescent="0.2">
      <c r="A975" s="376"/>
      <c r="B975" s="26" t="s">
        <v>1381</v>
      </c>
      <c r="C975" s="16"/>
      <c r="D975" s="64">
        <f>2.77*(61.9+3.8*2)-(2.85*2.4+1.18*2.4+1*2.1*10)</f>
        <v>161.84300000000002</v>
      </c>
      <c r="E975" s="23"/>
      <c r="F975" s="215"/>
      <c r="G975" s="85"/>
      <c r="H975" s="107"/>
    </row>
    <row r="976" spans="1:9" s="82" customFormat="1" x14ac:dyDescent="0.2">
      <c r="A976" s="376"/>
      <c r="B976" s="25"/>
      <c r="C976" s="16"/>
      <c r="D976" s="26"/>
      <c r="E976" s="23"/>
      <c r="F976" s="215"/>
      <c r="G976" s="85"/>
      <c r="H976" s="107"/>
    </row>
    <row r="977" spans="1:9" s="82" customFormat="1" x14ac:dyDescent="0.2">
      <c r="A977" s="376"/>
      <c r="B977" s="25" t="s">
        <v>899</v>
      </c>
      <c r="C977" s="16"/>
      <c r="D977" s="26"/>
      <c r="E977" s="23"/>
      <c r="F977" s="215"/>
      <c r="G977" s="85"/>
      <c r="H977" s="107"/>
    </row>
    <row r="978" spans="1:9" s="82" customFormat="1" ht="25.5" x14ac:dyDescent="0.2">
      <c r="A978" s="376"/>
      <c r="B978" s="26" t="s">
        <v>1382</v>
      </c>
      <c r="C978" s="16"/>
      <c r="D978" s="64">
        <f>2.77*(61.9+3.8*2)*3-(2.85*2.4+1.18*2.4+1*2.1*10)*3</f>
        <v>485.52900000000005</v>
      </c>
      <c r="E978" s="23"/>
      <c r="F978" s="215"/>
      <c r="G978" s="85"/>
      <c r="H978" s="107"/>
    </row>
    <row r="979" spans="1:9" s="82" customFormat="1" x14ac:dyDescent="0.2">
      <c r="A979" s="376"/>
      <c r="B979" s="26"/>
      <c r="C979" s="16"/>
      <c r="D979" s="64"/>
      <c r="E979" s="23"/>
      <c r="F979" s="215"/>
      <c r="G979" s="85"/>
      <c r="H979" s="107"/>
    </row>
    <row r="980" spans="1:9" s="82" customFormat="1" x14ac:dyDescent="0.2">
      <c r="A980" s="376"/>
      <c r="B980" s="26" t="s">
        <v>909</v>
      </c>
      <c r="C980" s="16"/>
      <c r="D980" s="64"/>
      <c r="E980" s="23"/>
      <c r="F980" s="215"/>
      <c r="G980" s="85"/>
      <c r="H980" s="107"/>
    </row>
    <row r="981" spans="1:9" s="82" customFormat="1" ht="25.5" x14ac:dyDescent="0.2">
      <c r="A981" s="376"/>
      <c r="B981" s="26" t="s">
        <v>1381</v>
      </c>
      <c r="C981" s="16"/>
      <c r="D981" s="64">
        <f>2.77*(61.9+3.8*2)-(2.85*2.4+1.18*2.4+1*2.1*10)</f>
        <v>161.84300000000002</v>
      </c>
      <c r="E981" s="23"/>
      <c r="F981" s="215"/>
      <c r="G981" s="85"/>
      <c r="H981" s="107"/>
    </row>
    <row r="982" spans="1:9" x14ac:dyDescent="0.2">
      <c r="A982" s="376"/>
      <c r="B982" s="20"/>
      <c r="C982" s="16"/>
      <c r="D982" s="26"/>
      <c r="E982" s="23"/>
      <c r="F982" s="215"/>
      <c r="G982" s="82"/>
      <c r="H982" s="88"/>
      <c r="I982" s="82"/>
    </row>
    <row r="983" spans="1:9" x14ac:dyDescent="0.2">
      <c r="A983" s="213"/>
      <c r="B983" s="138" t="s">
        <v>265</v>
      </c>
      <c r="C983" s="16" t="s">
        <v>37</v>
      </c>
      <c r="D983" s="26">
        <f>SUM(D972:D982)</f>
        <v>1020.1605000000002</v>
      </c>
      <c r="E983" s="20"/>
      <c r="F983" s="215">
        <f>D983*E983</f>
        <v>0</v>
      </c>
      <c r="G983" s="82"/>
      <c r="H983" s="88"/>
      <c r="I983" s="82"/>
    </row>
    <row r="984" spans="1:9" x14ac:dyDescent="0.2">
      <c r="A984" s="213"/>
      <c r="B984" s="25"/>
      <c r="C984" s="16"/>
      <c r="D984" s="26"/>
      <c r="E984" s="12"/>
      <c r="F984" s="215"/>
      <c r="G984" s="82"/>
      <c r="H984" s="88"/>
      <c r="I984" s="82"/>
    </row>
    <row r="985" spans="1:9" x14ac:dyDescent="0.2">
      <c r="A985" s="221" t="s">
        <v>266</v>
      </c>
      <c r="B985" s="21" t="s">
        <v>454</v>
      </c>
      <c r="C985" s="16"/>
      <c r="D985" s="26"/>
      <c r="E985" s="23"/>
      <c r="F985" s="215"/>
      <c r="G985" s="104"/>
      <c r="H985" s="82"/>
      <c r="I985" s="82"/>
    </row>
    <row r="986" spans="1:9" x14ac:dyDescent="0.2">
      <c r="A986" s="376"/>
      <c r="B986" s="20" t="s">
        <v>455</v>
      </c>
      <c r="C986" s="16"/>
      <c r="D986" s="26"/>
      <c r="E986" s="23"/>
      <c r="F986" s="215"/>
      <c r="G986" s="70"/>
      <c r="H986" s="191"/>
      <c r="I986" s="82"/>
    </row>
    <row r="987" spans="1:9" ht="25.5" x14ac:dyDescent="0.2">
      <c r="A987" s="376"/>
      <c r="B987" s="20" t="s">
        <v>456</v>
      </c>
      <c r="C987" s="16"/>
      <c r="D987" s="26"/>
      <c r="E987" s="23"/>
      <c r="F987" s="215"/>
      <c r="G987" s="70"/>
      <c r="H987" s="191"/>
      <c r="I987" s="82"/>
    </row>
    <row r="988" spans="1:9" x14ac:dyDescent="0.2">
      <c r="A988" s="376"/>
      <c r="B988" s="20"/>
      <c r="C988" s="16"/>
      <c r="D988" s="26"/>
      <c r="E988" s="23"/>
      <c r="F988" s="215"/>
      <c r="G988" s="70"/>
      <c r="H988" s="191"/>
      <c r="I988" s="82"/>
    </row>
    <row r="989" spans="1:9" x14ac:dyDescent="0.2">
      <c r="A989" s="376"/>
      <c r="B989" s="25" t="s">
        <v>26</v>
      </c>
      <c r="C989" s="16"/>
      <c r="D989" s="26"/>
      <c r="E989" s="23"/>
      <c r="F989" s="215"/>
      <c r="G989" s="70"/>
      <c r="H989" s="83"/>
      <c r="I989" s="82"/>
    </row>
    <row r="990" spans="1:9" ht="25.5" x14ac:dyDescent="0.2">
      <c r="A990" s="376"/>
      <c r="B990" s="26" t="s">
        <v>989</v>
      </c>
      <c r="C990" s="16"/>
      <c r="D990" s="64">
        <f>2.77*(3.75+1+4.15+2.2+2.42+3.75+3.45+2.2)</f>
        <v>63.488400000000006</v>
      </c>
      <c r="E990" s="23"/>
      <c r="F990" s="215"/>
      <c r="G990" s="70"/>
      <c r="H990" s="83"/>
      <c r="I990" s="82"/>
    </row>
    <row r="991" spans="1:9" x14ac:dyDescent="0.2">
      <c r="A991" s="376"/>
      <c r="B991" s="25"/>
      <c r="C991" s="16"/>
      <c r="D991" s="26"/>
      <c r="E991" s="23"/>
      <c r="F991" s="215"/>
      <c r="G991" s="70"/>
      <c r="H991" s="83"/>
      <c r="I991" s="82"/>
    </row>
    <row r="992" spans="1:9" x14ac:dyDescent="0.2">
      <c r="A992" s="376"/>
      <c r="B992" s="25" t="s">
        <v>898</v>
      </c>
      <c r="C992" s="16"/>
      <c r="D992" s="26"/>
      <c r="E992" s="23"/>
      <c r="F992" s="215"/>
      <c r="G992" s="70"/>
      <c r="H992" s="83"/>
      <c r="I992" s="82"/>
    </row>
    <row r="993" spans="1:9" ht="26.25" thickBot="1" x14ac:dyDescent="0.25">
      <c r="A993" s="388"/>
      <c r="B993" s="285" t="s">
        <v>990</v>
      </c>
      <c r="C993" s="93"/>
      <c r="D993" s="292">
        <f>2.77*(2+4.15+2.12+4.05+6.27+3.12+3.15+3.6+3.95+2.2)</f>
        <v>95.869700000000023</v>
      </c>
      <c r="E993" s="300"/>
      <c r="F993" s="358"/>
      <c r="G993" s="70"/>
      <c r="H993" s="83"/>
      <c r="I993" s="82"/>
    </row>
    <row r="994" spans="1:9" s="82" customFormat="1" x14ac:dyDescent="0.2">
      <c r="A994" s="376"/>
      <c r="B994" s="25"/>
      <c r="C994" s="16"/>
      <c r="D994" s="26"/>
      <c r="E994" s="23"/>
      <c r="F994" s="215"/>
      <c r="G994" s="104"/>
      <c r="H994" s="192"/>
    </row>
    <row r="995" spans="1:9" x14ac:dyDescent="0.2">
      <c r="A995" s="413"/>
      <c r="B995" s="25" t="s">
        <v>899</v>
      </c>
      <c r="C995" s="16"/>
      <c r="D995" s="26"/>
      <c r="E995" s="23"/>
      <c r="F995" s="215"/>
      <c r="G995" s="104"/>
      <c r="H995" s="192"/>
      <c r="I995" s="82"/>
    </row>
    <row r="996" spans="1:9" ht="25.5" x14ac:dyDescent="0.2">
      <c r="A996" s="376"/>
      <c r="B996" s="26" t="s">
        <v>991</v>
      </c>
      <c r="C996" s="16"/>
      <c r="D996" s="64">
        <f>2*2.77*(2+4.15+2.12+4.05+6.27+3.12+3.15+3.6+3.95+2.2)</f>
        <v>191.73940000000005</v>
      </c>
      <c r="E996" s="23"/>
      <c r="F996" s="215"/>
      <c r="G996" s="104"/>
      <c r="H996" s="192"/>
      <c r="I996" s="82"/>
    </row>
    <row r="997" spans="1:9" x14ac:dyDescent="0.2">
      <c r="A997" s="376"/>
      <c r="B997" s="26"/>
      <c r="C997" s="16"/>
      <c r="D997" s="64"/>
      <c r="E997" s="23"/>
      <c r="F997" s="215"/>
      <c r="G997" s="104"/>
      <c r="H997" s="192"/>
      <c r="I997" s="82"/>
    </row>
    <row r="998" spans="1:9" x14ac:dyDescent="0.2">
      <c r="A998" s="376"/>
      <c r="B998" s="26" t="s">
        <v>909</v>
      </c>
      <c r="C998" s="16"/>
      <c r="D998" s="64"/>
      <c r="E998" s="23"/>
      <c r="F998" s="215"/>
      <c r="G998" s="104"/>
      <c r="H998" s="192"/>
      <c r="I998" s="82"/>
    </row>
    <row r="999" spans="1:9" ht="38.25" x14ac:dyDescent="0.2">
      <c r="A999" s="376"/>
      <c r="B999" s="26" t="s">
        <v>992</v>
      </c>
      <c r="C999" s="16"/>
      <c r="D999" s="64">
        <f>(2.77+1.99)/2*(2+4.15)*2+2.77*(2+4.15)+(2.77+2.5)/2*(3.6+1)*2+2.77*(3.95+2.2)</f>
        <v>87.587000000000003</v>
      </c>
      <c r="E999" s="23"/>
      <c r="F999" s="215"/>
      <c r="G999" s="104"/>
      <c r="H999" s="192"/>
      <c r="I999" s="82"/>
    </row>
    <row r="1000" spans="1:9" s="82" customFormat="1" x14ac:dyDescent="0.2">
      <c r="A1000" s="376"/>
      <c r="B1000" s="20"/>
      <c r="C1000" s="16"/>
      <c r="D1000" s="26"/>
      <c r="E1000" s="23"/>
      <c r="F1000" s="215"/>
      <c r="G1000" s="104"/>
      <c r="H1000" s="192"/>
    </row>
    <row r="1001" spans="1:9" x14ac:dyDescent="0.2">
      <c r="A1001" s="376"/>
      <c r="B1001" s="138" t="s">
        <v>267</v>
      </c>
      <c r="C1001" s="16" t="s">
        <v>37</v>
      </c>
      <c r="D1001" s="26">
        <f>SUM(D990:D1000)</f>
        <v>438.68450000000007</v>
      </c>
      <c r="E1001" s="20"/>
      <c r="F1001" s="215">
        <f>D1001*E1001</f>
        <v>0</v>
      </c>
      <c r="G1001" s="104"/>
      <c r="H1001" s="192"/>
      <c r="I1001" s="82"/>
    </row>
    <row r="1002" spans="1:9" x14ac:dyDescent="0.2">
      <c r="A1002" s="376"/>
      <c r="B1002" s="26"/>
      <c r="C1002" s="66"/>
      <c r="D1002" s="26"/>
      <c r="E1002" s="18"/>
      <c r="F1002" s="215"/>
      <c r="G1002" s="104"/>
      <c r="H1002" s="192"/>
      <c r="I1002" s="82"/>
    </row>
    <row r="1003" spans="1:9" ht="38.25" x14ac:dyDescent="0.2">
      <c r="A1003" s="213" t="s">
        <v>156</v>
      </c>
      <c r="B1003" s="157" t="s">
        <v>457</v>
      </c>
      <c r="C1003" s="16"/>
      <c r="D1003" s="26"/>
      <c r="E1003" s="23"/>
      <c r="F1003" s="215"/>
      <c r="G1003" s="104"/>
      <c r="H1003" s="192"/>
      <c r="I1003" s="82"/>
    </row>
    <row r="1004" spans="1:9" ht="63.75" x14ac:dyDescent="0.2">
      <c r="A1004" s="376"/>
      <c r="B1004" s="65" t="s">
        <v>458</v>
      </c>
      <c r="C1004" s="16"/>
      <c r="D1004" s="26"/>
      <c r="E1004" s="23"/>
      <c r="F1004" s="215"/>
      <c r="G1004" s="104"/>
      <c r="H1004" s="192"/>
      <c r="I1004" s="82"/>
    </row>
    <row r="1005" spans="1:9" ht="63.75" x14ac:dyDescent="0.2">
      <c r="A1005" s="376"/>
      <c r="B1005" s="88" t="s">
        <v>459</v>
      </c>
      <c r="C1005" s="16"/>
      <c r="D1005" s="26"/>
      <c r="E1005" s="23"/>
      <c r="F1005" s="215"/>
      <c r="G1005" s="104"/>
      <c r="H1005" s="192"/>
      <c r="I1005" s="82"/>
    </row>
    <row r="1006" spans="1:9" ht="38.25" x14ac:dyDescent="0.2">
      <c r="A1006" s="376"/>
      <c r="B1006" s="88" t="s">
        <v>460</v>
      </c>
      <c r="C1006" s="16"/>
      <c r="D1006" s="26"/>
      <c r="E1006" s="23"/>
      <c r="F1006" s="215"/>
      <c r="G1006" s="104"/>
      <c r="H1006" s="192"/>
      <c r="I1006" s="82"/>
    </row>
    <row r="1007" spans="1:9" ht="51" x14ac:dyDescent="0.2">
      <c r="A1007" s="376"/>
      <c r="B1007" s="35" t="s">
        <v>206</v>
      </c>
      <c r="C1007" s="16"/>
      <c r="D1007" s="26"/>
      <c r="E1007" s="23"/>
      <c r="F1007" s="215"/>
      <c r="G1007" s="104"/>
      <c r="H1007" s="193"/>
      <c r="I1007" s="82"/>
    </row>
    <row r="1008" spans="1:9" ht="38.25" x14ac:dyDescent="0.2">
      <c r="A1008" s="376"/>
      <c r="B1008" s="35" t="s">
        <v>461</v>
      </c>
      <c r="C1008" s="16"/>
      <c r="D1008" s="26"/>
      <c r="E1008" s="23"/>
      <c r="F1008" s="215"/>
      <c r="G1008" s="108"/>
      <c r="H1008" s="193"/>
      <c r="I1008" s="82"/>
    </row>
    <row r="1009" spans="1:9" x14ac:dyDescent="0.2">
      <c r="A1009" s="376"/>
      <c r="B1009" s="20"/>
      <c r="C1009" s="16"/>
      <c r="D1009" s="26"/>
      <c r="E1009" s="23"/>
      <c r="F1009" s="215"/>
      <c r="G1009" s="104"/>
      <c r="H1009" s="108"/>
      <c r="I1009" s="82"/>
    </row>
    <row r="1010" spans="1:9" x14ac:dyDescent="0.2">
      <c r="A1010" s="376"/>
      <c r="B1010" s="20" t="s">
        <v>462</v>
      </c>
      <c r="C1010" s="16"/>
      <c r="D1010" s="26"/>
      <c r="E1010" s="23"/>
      <c r="F1010" s="215"/>
      <c r="G1010" s="104"/>
      <c r="H1010" s="108"/>
      <c r="I1010" s="82"/>
    </row>
    <row r="1011" spans="1:9" x14ac:dyDescent="0.2">
      <c r="A1011" s="376"/>
      <c r="B1011" s="20"/>
      <c r="C1011" s="16"/>
      <c r="D1011" s="26"/>
      <c r="E1011" s="23"/>
      <c r="F1011" s="215"/>
      <c r="G1011" s="104"/>
      <c r="H1011" s="108"/>
      <c r="I1011" s="82"/>
    </row>
    <row r="1012" spans="1:9" x14ac:dyDescent="0.2">
      <c r="A1012" s="376"/>
      <c r="B1012" s="25" t="s">
        <v>26</v>
      </c>
      <c r="C1012" s="16"/>
      <c r="D1012" s="26"/>
      <c r="E1012" s="23"/>
      <c r="F1012" s="215"/>
      <c r="G1012" s="104"/>
      <c r="H1012" s="108"/>
      <c r="I1012" s="82"/>
    </row>
    <row r="1013" spans="1:9" x14ac:dyDescent="0.2">
      <c r="A1013" s="376"/>
      <c r="B1013" s="26" t="s">
        <v>463</v>
      </c>
      <c r="C1013" s="16"/>
      <c r="D1013" s="26">
        <f>2.77*(2.69+1.6)</f>
        <v>11.8833</v>
      </c>
      <c r="E1013" s="23"/>
      <c r="F1013" s="215">
        <f>D1013*E1013</f>
        <v>0</v>
      </c>
      <c r="G1013" s="104"/>
      <c r="H1013" s="108"/>
      <c r="I1013" s="82"/>
    </row>
    <row r="1014" spans="1:9" x14ac:dyDescent="0.2">
      <c r="A1014" s="376"/>
      <c r="B1014" s="25"/>
      <c r="C1014" s="16"/>
      <c r="D1014" s="26"/>
      <c r="E1014" s="23"/>
      <c r="F1014" s="215"/>
      <c r="G1014" s="104"/>
      <c r="H1014" s="108"/>
      <c r="I1014" s="82"/>
    </row>
    <row r="1015" spans="1:9" x14ac:dyDescent="0.2">
      <c r="A1015" s="376"/>
      <c r="B1015" s="25" t="s">
        <v>898</v>
      </c>
      <c r="C1015" s="16"/>
      <c r="D1015" s="26"/>
      <c r="E1015" s="23"/>
      <c r="F1015" s="215"/>
      <c r="G1015" s="104"/>
      <c r="H1015" s="108"/>
      <c r="I1015" s="82"/>
    </row>
    <row r="1016" spans="1:9" s="82" customFormat="1" x14ac:dyDescent="0.2">
      <c r="A1016" s="376"/>
      <c r="B1016" s="26" t="s">
        <v>463</v>
      </c>
      <c r="C1016" s="16"/>
      <c r="D1016" s="26">
        <f>2.77*(2.69+1.6)</f>
        <v>11.8833</v>
      </c>
      <c r="E1016" s="23"/>
      <c r="F1016" s="215"/>
      <c r="G1016" s="104"/>
      <c r="H1016" s="108"/>
    </row>
    <row r="1017" spans="1:9" x14ac:dyDescent="0.2">
      <c r="A1017" s="376"/>
      <c r="B1017" s="25"/>
      <c r="C1017" s="16"/>
      <c r="D1017" s="26"/>
      <c r="E1017" s="23"/>
      <c r="F1017" s="215"/>
      <c r="G1017" s="104"/>
      <c r="H1017" s="108"/>
      <c r="I1017" s="82"/>
    </row>
    <row r="1018" spans="1:9" x14ac:dyDescent="0.2">
      <c r="A1018" s="376"/>
      <c r="B1018" s="25" t="s">
        <v>899</v>
      </c>
      <c r="C1018" s="16"/>
      <c r="D1018" s="26"/>
      <c r="E1018" s="23"/>
      <c r="F1018" s="215"/>
      <c r="G1018" s="104"/>
      <c r="H1018" s="108"/>
      <c r="I1018" s="82"/>
    </row>
    <row r="1019" spans="1:9" x14ac:dyDescent="0.2">
      <c r="A1019" s="376"/>
      <c r="B1019" s="26" t="s">
        <v>997</v>
      </c>
      <c r="C1019" s="16"/>
      <c r="D1019" s="26">
        <f>2.77*(2.69+1.6)*3</f>
        <v>35.649900000000002</v>
      </c>
      <c r="E1019" s="23"/>
      <c r="F1019" s="215"/>
      <c r="G1019" s="104"/>
      <c r="H1019" s="108"/>
      <c r="I1019" s="82"/>
    </row>
    <row r="1020" spans="1:9" x14ac:dyDescent="0.2">
      <c r="A1020" s="376"/>
      <c r="B1020" s="26"/>
      <c r="C1020" s="16"/>
      <c r="D1020" s="26"/>
      <c r="E1020" s="23"/>
      <c r="F1020" s="215"/>
      <c r="G1020" s="104"/>
      <c r="H1020" s="108"/>
      <c r="I1020" s="82"/>
    </row>
    <row r="1021" spans="1:9" x14ac:dyDescent="0.2">
      <c r="A1021" s="376"/>
      <c r="B1021" s="26" t="s">
        <v>909</v>
      </c>
      <c r="C1021" s="16"/>
      <c r="D1021" s="26"/>
      <c r="E1021" s="23"/>
      <c r="F1021" s="215"/>
      <c r="G1021" s="104"/>
      <c r="H1021" s="108"/>
      <c r="I1021" s="82"/>
    </row>
    <row r="1022" spans="1:9" x14ac:dyDescent="0.2">
      <c r="A1022" s="376"/>
      <c r="B1022" s="26" t="s">
        <v>463</v>
      </c>
      <c r="C1022" s="16"/>
      <c r="D1022" s="26">
        <f>2.77*(2.69+1.6)</f>
        <v>11.8833</v>
      </c>
      <c r="E1022" s="23"/>
      <c r="F1022" s="215"/>
      <c r="G1022" s="104"/>
      <c r="H1022" s="108"/>
      <c r="I1022" s="82"/>
    </row>
    <row r="1023" spans="1:9" x14ac:dyDescent="0.2">
      <c r="A1023" s="376"/>
      <c r="B1023" s="20"/>
      <c r="C1023" s="16"/>
      <c r="D1023" s="26"/>
      <c r="E1023" s="23"/>
      <c r="F1023" s="215"/>
      <c r="G1023" s="104"/>
      <c r="H1023" s="108"/>
      <c r="I1023" s="82"/>
    </row>
    <row r="1024" spans="1:9" ht="13.5" thickBot="1" x14ac:dyDescent="0.25">
      <c r="A1024" s="388"/>
      <c r="B1024" s="323" t="s">
        <v>576</v>
      </c>
      <c r="C1024" s="93" t="s">
        <v>37</v>
      </c>
      <c r="D1024" s="285">
        <f>SUM(D1010:D1023)</f>
        <v>71.299800000000005</v>
      </c>
      <c r="E1024" s="324"/>
      <c r="F1024" s="358">
        <f>D1024*E1024</f>
        <v>0</v>
      </c>
      <c r="G1024" s="104"/>
      <c r="H1024" s="108"/>
      <c r="I1024" s="82"/>
    </row>
    <row r="1025" spans="1:9" x14ac:dyDescent="0.2">
      <c r="A1025" s="376"/>
      <c r="B1025" s="65"/>
      <c r="C1025" s="25"/>
      <c r="D1025" s="25"/>
      <c r="E1025" s="25"/>
      <c r="F1025" s="215"/>
      <c r="G1025" s="104"/>
      <c r="H1025" s="108"/>
      <c r="I1025" s="82"/>
    </row>
    <row r="1026" spans="1:9" s="82" customFormat="1" ht="25.5" x14ac:dyDescent="0.2">
      <c r="A1026" s="213" t="s">
        <v>157</v>
      </c>
      <c r="B1026" s="20" t="s">
        <v>1001</v>
      </c>
      <c r="C1026" s="66"/>
      <c r="D1026" s="29"/>
      <c r="E1026" s="25"/>
      <c r="F1026" s="242"/>
      <c r="G1026" s="70"/>
      <c r="H1026" s="108"/>
    </row>
    <row r="1027" spans="1:9" s="82" customFormat="1" ht="102" x14ac:dyDescent="0.2">
      <c r="A1027" s="376"/>
      <c r="B1027" s="20" t="s">
        <v>706</v>
      </c>
      <c r="C1027" s="66"/>
      <c r="D1027" s="29"/>
      <c r="E1027" s="25"/>
      <c r="F1027" s="242"/>
      <c r="G1027" s="70"/>
      <c r="H1027" s="108"/>
    </row>
    <row r="1028" spans="1:9" s="82" customFormat="1" ht="38.25" x14ac:dyDescent="0.2">
      <c r="A1028" s="376"/>
      <c r="B1028" s="20" t="s">
        <v>464</v>
      </c>
      <c r="C1028" s="66"/>
      <c r="D1028" s="29"/>
      <c r="E1028" s="25"/>
      <c r="F1028" s="242"/>
      <c r="G1028" s="70"/>
      <c r="H1028" s="108"/>
    </row>
    <row r="1029" spans="1:9" s="82" customFormat="1" ht="76.5" x14ac:dyDescent="0.2">
      <c r="A1029" s="376"/>
      <c r="B1029" s="35" t="s">
        <v>465</v>
      </c>
      <c r="C1029" s="66"/>
      <c r="D1029" s="29"/>
      <c r="E1029" s="25"/>
      <c r="F1029" s="242"/>
      <c r="G1029" s="70"/>
      <c r="H1029" s="108"/>
    </row>
    <row r="1030" spans="1:9" s="82" customFormat="1" ht="51" x14ac:dyDescent="0.2">
      <c r="A1030" s="376"/>
      <c r="B1030" s="35" t="s">
        <v>466</v>
      </c>
      <c r="C1030" s="66"/>
      <c r="D1030" s="29"/>
      <c r="E1030" s="25"/>
      <c r="F1030" s="242"/>
      <c r="G1030" s="70"/>
      <c r="H1030" s="108"/>
    </row>
    <row r="1031" spans="1:9" s="82" customFormat="1" x14ac:dyDescent="0.2">
      <c r="A1031" s="376"/>
      <c r="B1031" s="35" t="s">
        <v>467</v>
      </c>
      <c r="C1031" s="66"/>
      <c r="D1031" s="29"/>
      <c r="E1031" s="25"/>
      <c r="F1031" s="242"/>
      <c r="G1031" s="70"/>
      <c r="H1031" s="108"/>
    </row>
    <row r="1032" spans="1:9" s="82" customFormat="1" x14ac:dyDescent="0.2">
      <c r="A1032" s="376"/>
      <c r="B1032" s="138"/>
      <c r="C1032" s="66"/>
      <c r="D1032" s="29"/>
      <c r="E1032" s="25"/>
      <c r="F1032" s="242"/>
      <c r="G1032" s="70"/>
      <c r="H1032" s="108"/>
    </row>
    <row r="1033" spans="1:9" s="82" customFormat="1" x14ac:dyDescent="0.2">
      <c r="A1033" s="376"/>
      <c r="B1033" s="138" t="s">
        <v>468</v>
      </c>
      <c r="C1033" s="66"/>
      <c r="D1033" s="29"/>
      <c r="E1033" s="25"/>
      <c r="F1033" s="242"/>
      <c r="G1033" s="70"/>
      <c r="H1033" s="108"/>
    </row>
    <row r="1034" spans="1:9" s="82" customFormat="1" x14ac:dyDescent="0.2">
      <c r="A1034" s="376"/>
      <c r="B1034" s="12"/>
      <c r="C1034" s="66"/>
      <c r="D1034" s="29"/>
      <c r="E1034" s="25"/>
      <c r="F1034" s="242"/>
      <c r="G1034" s="70"/>
      <c r="H1034" s="108"/>
    </row>
    <row r="1035" spans="1:9" s="82" customFormat="1" x14ac:dyDescent="0.2">
      <c r="A1035" s="376"/>
      <c r="B1035" s="19" t="s">
        <v>469</v>
      </c>
      <c r="C1035" s="66" t="s">
        <v>37</v>
      </c>
      <c r="D1035" s="26">
        <f>3.12*5.77+3.08*0.85</f>
        <v>20.620399999999997</v>
      </c>
      <c r="E1035" s="12"/>
      <c r="F1035" s="215">
        <f>D1035*E1035</f>
        <v>0</v>
      </c>
      <c r="G1035" s="70"/>
      <c r="H1035" s="108"/>
    </row>
    <row r="1036" spans="1:9" s="82" customFormat="1" x14ac:dyDescent="0.2">
      <c r="A1036" s="376"/>
      <c r="B1036" s="12"/>
      <c r="C1036" s="66"/>
      <c r="D1036" s="29"/>
      <c r="E1036" s="25"/>
      <c r="F1036" s="242"/>
      <c r="G1036" s="70"/>
      <c r="H1036" s="108"/>
    </row>
    <row r="1037" spans="1:9" s="82" customFormat="1" ht="38.25" x14ac:dyDescent="0.2">
      <c r="A1037" s="213" t="s">
        <v>143</v>
      </c>
      <c r="B1037" s="20" t="s">
        <v>470</v>
      </c>
      <c r="C1037" s="66"/>
      <c r="D1037" s="29"/>
      <c r="E1037" s="25"/>
      <c r="F1037" s="242"/>
      <c r="G1037" s="70"/>
      <c r="H1037" s="108"/>
    </row>
    <row r="1038" spans="1:9" s="82" customFormat="1" ht="38.25" x14ac:dyDescent="0.2">
      <c r="A1038" s="376"/>
      <c r="B1038" s="20" t="s">
        <v>471</v>
      </c>
      <c r="C1038" s="66"/>
      <c r="D1038" s="29"/>
      <c r="E1038" s="25"/>
      <c r="F1038" s="242"/>
      <c r="G1038" s="70"/>
      <c r="H1038" s="108"/>
    </row>
    <row r="1039" spans="1:9" s="82" customFormat="1" ht="38.25" x14ac:dyDescent="0.2">
      <c r="A1039" s="376"/>
      <c r="B1039" s="24" t="s">
        <v>472</v>
      </c>
      <c r="C1039" s="66"/>
      <c r="D1039" s="29"/>
      <c r="E1039" s="25"/>
      <c r="F1039" s="242"/>
      <c r="G1039" s="70"/>
      <c r="H1039" s="108"/>
    </row>
    <row r="1040" spans="1:9" s="82" customFormat="1" ht="38.25" x14ac:dyDescent="0.2">
      <c r="A1040" s="376"/>
      <c r="B1040" s="111" t="s">
        <v>473</v>
      </c>
      <c r="C1040" s="66"/>
      <c r="D1040" s="29"/>
      <c r="E1040" s="25"/>
      <c r="F1040" s="242"/>
      <c r="G1040" s="70"/>
      <c r="H1040" s="108"/>
    </row>
    <row r="1041" spans="1:8" s="82" customFormat="1" x14ac:dyDescent="0.2">
      <c r="A1041" s="376"/>
      <c r="B1041" s="24" t="s">
        <v>474</v>
      </c>
      <c r="C1041" s="66"/>
      <c r="D1041" s="29"/>
      <c r="E1041" s="25"/>
      <c r="F1041" s="242"/>
      <c r="G1041" s="70"/>
      <c r="H1041" s="108"/>
    </row>
    <row r="1042" spans="1:8" s="82" customFormat="1" ht="38.25" x14ac:dyDescent="0.2">
      <c r="A1042" s="376"/>
      <c r="B1042" s="82" t="s">
        <v>475</v>
      </c>
      <c r="C1042" s="66"/>
      <c r="D1042" s="24"/>
      <c r="E1042" s="25"/>
      <c r="F1042" s="242"/>
      <c r="G1042" s="70"/>
      <c r="H1042" s="108"/>
    </row>
    <row r="1043" spans="1:8" s="82" customFormat="1" ht="51" x14ac:dyDescent="0.2">
      <c r="A1043" s="376"/>
      <c r="B1043" s="35" t="s">
        <v>466</v>
      </c>
      <c r="C1043" s="66"/>
      <c r="D1043" s="29"/>
      <c r="E1043" s="25"/>
      <c r="F1043" s="242"/>
      <c r="G1043" s="70"/>
      <c r="H1043" s="108"/>
    </row>
    <row r="1044" spans="1:8" s="82" customFormat="1" ht="13.5" thickBot="1" x14ac:dyDescent="0.25">
      <c r="A1044" s="388"/>
      <c r="B1044" s="305" t="s">
        <v>467</v>
      </c>
      <c r="C1044" s="290"/>
      <c r="D1044" s="303"/>
      <c r="E1044" s="71"/>
      <c r="F1044" s="380"/>
      <c r="G1044" s="70"/>
      <c r="H1044" s="108"/>
    </row>
    <row r="1045" spans="1:8" s="82" customFormat="1" x14ac:dyDescent="0.2">
      <c r="A1045" s="376"/>
      <c r="B1045" s="20"/>
      <c r="C1045" s="66"/>
      <c r="D1045" s="24"/>
      <c r="E1045" s="25"/>
      <c r="F1045" s="242"/>
      <c r="G1045" s="70"/>
      <c r="H1045" s="108"/>
    </row>
    <row r="1046" spans="1:8" s="82" customFormat="1" ht="25.5" x14ac:dyDescent="0.2">
      <c r="A1046" s="216" t="s">
        <v>994</v>
      </c>
      <c r="B1046" s="20" t="s">
        <v>707</v>
      </c>
      <c r="C1046" s="66"/>
      <c r="D1046" s="29"/>
      <c r="E1046" s="25"/>
      <c r="F1046" s="242"/>
      <c r="G1046" s="70"/>
      <c r="H1046" s="108"/>
    </row>
    <row r="1047" spans="1:8" s="82" customFormat="1" x14ac:dyDescent="0.2">
      <c r="A1047" s="376"/>
      <c r="B1047" s="24" t="s">
        <v>476</v>
      </c>
      <c r="C1047" s="66"/>
      <c r="D1047" s="29"/>
      <c r="E1047" s="25"/>
      <c r="F1047" s="242"/>
      <c r="G1047" s="70"/>
      <c r="H1047" s="108"/>
    </row>
    <row r="1048" spans="1:8" s="82" customFormat="1" x14ac:dyDescent="0.2">
      <c r="A1048" s="376"/>
      <c r="B1048" s="111" t="s">
        <v>477</v>
      </c>
      <c r="C1048" s="66"/>
      <c r="D1048" s="19"/>
      <c r="E1048" s="25"/>
      <c r="F1048" s="242"/>
      <c r="G1048" s="70"/>
      <c r="H1048" s="108"/>
    </row>
    <row r="1049" spans="1:8" s="82" customFormat="1" x14ac:dyDescent="0.2">
      <c r="A1049" s="376"/>
      <c r="B1049" s="24" t="s">
        <v>474</v>
      </c>
      <c r="C1049" s="66"/>
      <c r="D1049" s="29"/>
      <c r="E1049" s="25"/>
      <c r="F1049" s="242"/>
      <c r="G1049" s="70"/>
      <c r="H1049" s="108"/>
    </row>
    <row r="1050" spans="1:8" s="82" customFormat="1" x14ac:dyDescent="0.2">
      <c r="A1050" s="413"/>
      <c r="B1050" s="25"/>
      <c r="C1050" s="66"/>
      <c r="D1050" s="29"/>
      <c r="E1050" s="25"/>
      <c r="F1050" s="242"/>
      <c r="G1050" s="70"/>
      <c r="H1050" s="108"/>
    </row>
    <row r="1051" spans="1:8" s="82" customFormat="1" x14ac:dyDescent="0.2">
      <c r="A1051" s="399"/>
      <c r="B1051" s="25" t="s">
        <v>898</v>
      </c>
      <c r="C1051" s="66"/>
      <c r="D1051" s="29"/>
      <c r="E1051" s="25"/>
      <c r="F1051" s="242"/>
      <c r="G1051" s="70"/>
      <c r="H1051" s="108"/>
    </row>
    <row r="1052" spans="1:8" s="82" customFormat="1" ht="25.5" x14ac:dyDescent="0.2">
      <c r="A1052" s="376"/>
      <c r="B1052" s="26" t="s">
        <v>1383</v>
      </c>
      <c r="C1052" s="66"/>
      <c r="D1052" s="64">
        <f>53.35+60.06+52.94+34.24+67.71+78.79+42.07+44.35</f>
        <v>433.51000000000005</v>
      </c>
      <c r="E1052" s="12"/>
      <c r="F1052" s="414"/>
      <c r="G1052" s="70"/>
      <c r="H1052" s="108"/>
    </row>
    <row r="1053" spans="1:8" s="82" customFormat="1" x14ac:dyDescent="0.2">
      <c r="A1053" s="376"/>
      <c r="B1053" s="25"/>
      <c r="C1053" s="66"/>
      <c r="D1053" s="29"/>
      <c r="E1053" s="12"/>
      <c r="F1053" s="414"/>
      <c r="G1053" s="70"/>
      <c r="H1053" s="108"/>
    </row>
    <row r="1054" spans="1:8" s="82" customFormat="1" x14ac:dyDescent="0.2">
      <c r="A1054" s="376"/>
      <c r="B1054" s="25" t="s">
        <v>899</v>
      </c>
      <c r="C1054" s="66"/>
      <c r="D1054" s="29"/>
      <c r="E1054" s="12"/>
      <c r="F1054" s="414"/>
      <c r="G1054" s="70"/>
      <c r="H1054" s="108"/>
    </row>
    <row r="1055" spans="1:8" s="82" customFormat="1" ht="25.5" x14ac:dyDescent="0.2">
      <c r="A1055" s="376"/>
      <c r="B1055" s="26" t="s">
        <v>998</v>
      </c>
      <c r="C1055" s="16"/>
      <c r="D1055" s="12">
        <f>(53.35+60.06+52.94+34.24+67.71+78.79+42.07+44.35)*2</f>
        <v>867.0200000000001</v>
      </c>
      <c r="E1055" s="12"/>
      <c r="F1055" s="414"/>
      <c r="G1055" s="70"/>
      <c r="H1055" s="108"/>
    </row>
    <row r="1056" spans="1:8" s="82" customFormat="1" x14ac:dyDescent="0.2">
      <c r="A1056" s="376"/>
      <c r="B1056" s="12"/>
      <c r="C1056" s="66"/>
      <c r="D1056" s="29"/>
      <c r="E1056" s="12"/>
      <c r="F1056" s="414"/>
      <c r="G1056" s="70"/>
      <c r="H1056" s="108"/>
    </row>
    <row r="1057" spans="1:8" s="82" customFormat="1" x14ac:dyDescent="0.2">
      <c r="A1057" s="376"/>
      <c r="B1057" s="12" t="s">
        <v>909</v>
      </c>
      <c r="C1057" s="66"/>
      <c r="D1057" s="29"/>
      <c r="E1057" s="12"/>
      <c r="F1057" s="414"/>
      <c r="G1057" s="70"/>
      <c r="H1057" s="108"/>
    </row>
    <row r="1058" spans="1:8" s="82" customFormat="1" ht="25.5" x14ac:dyDescent="0.2">
      <c r="A1058" s="376"/>
      <c r="B1058" s="26" t="s">
        <v>1383</v>
      </c>
      <c r="C1058" s="66"/>
      <c r="D1058" s="29">
        <f>53.35+60.06+52.94+34.24+67.71+78.79+42.07+44.35</f>
        <v>433.51000000000005</v>
      </c>
      <c r="E1058" s="12"/>
      <c r="F1058" s="414"/>
      <c r="G1058" s="70"/>
      <c r="H1058" s="108"/>
    </row>
    <row r="1059" spans="1:8" s="82" customFormat="1" x14ac:dyDescent="0.2">
      <c r="A1059" s="376"/>
      <c r="B1059" s="12"/>
      <c r="C1059" s="66"/>
      <c r="D1059" s="29"/>
      <c r="E1059" s="12"/>
      <c r="F1059" s="414"/>
      <c r="G1059" s="70"/>
      <c r="H1059" s="108"/>
    </row>
    <row r="1060" spans="1:8" s="82" customFormat="1" x14ac:dyDescent="0.2">
      <c r="A1060" s="376"/>
      <c r="B1060" s="138" t="s">
        <v>995</v>
      </c>
      <c r="C1060" s="16" t="s">
        <v>37</v>
      </c>
      <c r="D1060" s="26">
        <f>SUM(D1052:D1059)</f>
        <v>1734.0400000000002</v>
      </c>
      <c r="E1060" s="40"/>
      <c r="F1060" s="215">
        <f>D1060*E1060</f>
        <v>0</v>
      </c>
      <c r="G1060" s="70"/>
      <c r="H1060" s="108"/>
    </row>
    <row r="1061" spans="1:8" s="82" customFormat="1" x14ac:dyDescent="0.2">
      <c r="A1061" s="376"/>
      <c r="B1061" s="20"/>
      <c r="C1061" s="16"/>
      <c r="D1061" s="26"/>
      <c r="E1061" s="23"/>
      <c r="F1061" s="215"/>
      <c r="G1061" s="70"/>
      <c r="H1061" s="108"/>
    </row>
    <row r="1062" spans="1:8" s="82" customFormat="1" x14ac:dyDescent="0.2">
      <c r="A1062" s="221" t="s">
        <v>478</v>
      </c>
      <c r="B1062" s="20" t="s">
        <v>479</v>
      </c>
      <c r="C1062" s="16"/>
      <c r="D1062" s="26"/>
      <c r="E1062" s="23"/>
      <c r="F1062" s="215"/>
      <c r="G1062" s="70"/>
      <c r="H1062" s="108"/>
    </row>
    <row r="1063" spans="1:8" s="82" customFormat="1" x14ac:dyDescent="0.2">
      <c r="A1063" s="221"/>
      <c r="B1063" s="24" t="s">
        <v>476</v>
      </c>
      <c r="C1063" s="16"/>
      <c r="D1063" s="26"/>
      <c r="E1063" s="23"/>
      <c r="F1063" s="215"/>
      <c r="G1063" s="70"/>
      <c r="H1063" s="108"/>
    </row>
    <row r="1064" spans="1:8" s="82" customFormat="1" x14ac:dyDescent="0.2">
      <c r="A1064" s="376"/>
      <c r="B1064" s="111" t="s">
        <v>480</v>
      </c>
      <c r="C1064" s="16"/>
      <c r="D1064" s="26"/>
      <c r="E1064" s="23"/>
      <c r="F1064" s="215"/>
      <c r="G1064" s="70"/>
      <c r="H1064" s="108"/>
    </row>
    <row r="1065" spans="1:8" s="82" customFormat="1" x14ac:dyDescent="0.2">
      <c r="A1065" s="376"/>
      <c r="B1065" s="24" t="s">
        <v>474</v>
      </c>
      <c r="C1065" s="16"/>
      <c r="D1065" s="26"/>
      <c r="E1065" s="23"/>
      <c r="F1065" s="215"/>
      <c r="G1065" s="70"/>
      <c r="H1065" s="108"/>
    </row>
    <row r="1066" spans="1:8" s="82" customFormat="1" x14ac:dyDescent="0.2">
      <c r="A1066" s="376"/>
      <c r="B1066" s="20"/>
      <c r="C1066" s="16"/>
      <c r="D1066" s="26"/>
      <c r="E1066" s="23"/>
      <c r="F1066" s="215"/>
      <c r="G1066" s="70"/>
      <c r="H1066" s="108"/>
    </row>
    <row r="1067" spans="1:8" s="82" customFormat="1" x14ac:dyDescent="0.2">
      <c r="A1067" s="376"/>
      <c r="B1067" s="25" t="s">
        <v>898</v>
      </c>
      <c r="C1067" s="16"/>
      <c r="D1067" s="26">
        <v>50.03</v>
      </c>
      <c r="E1067" s="23"/>
      <c r="F1067" s="215"/>
      <c r="G1067" s="70"/>
      <c r="H1067" s="108"/>
    </row>
    <row r="1068" spans="1:8" s="82" customFormat="1" x14ac:dyDescent="0.2">
      <c r="A1068" s="376"/>
      <c r="B1068" s="25"/>
      <c r="C1068" s="16"/>
      <c r="D1068" s="26"/>
      <c r="E1068" s="23"/>
      <c r="F1068" s="215"/>
      <c r="G1068" s="70"/>
      <c r="H1068" s="108"/>
    </row>
    <row r="1069" spans="1:8" s="82" customFormat="1" x14ac:dyDescent="0.2">
      <c r="A1069" s="376"/>
      <c r="B1069" s="25" t="s">
        <v>899</v>
      </c>
      <c r="C1069" s="16"/>
      <c r="D1069" s="26"/>
      <c r="E1069" s="23"/>
      <c r="F1069" s="215"/>
      <c r="G1069" s="70"/>
      <c r="H1069" s="108"/>
    </row>
    <row r="1070" spans="1:8" s="82" customFormat="1" x14ac:dyDescent="0.2">
      <c r="A1070" s="376"/>
      <c r="B1070" s="24" t="s">
        <v>999</v>
      </c>
      <c r="C1070" s="16"/>
      <c r="D1070" s="26">
        <f>50.03*3</f>
        <v>150.09</v>
      </c>
      <c r="E1070" s="23"/>
      <c r="F1070" s="215"/>
      <c r="G1070" s="70"/>
      <c r="H1070" s="108"/>
    </row>
    <row r="1071" spans="1:8" s="82" customFormat="1" x14ac:dyDescent="0.2">
      <c r="A1071" s="376"/>
      <c r="B1071" s="24"/>
      <c r="C1071" s="16"/>
      <c r="D1071" s="26"/>
      <c r="E1071" s="23"/>
      <c r="F1071" s="215"/>
      <c r="G1071" s="70"/>
      <c r="H1071" s="108"/>
    </row>
    <row r="1072" spans="1:8" s="82" customFormat="1" x14ac:dyDescent="0.2">
      <c r="A1072" s="376"/>
      <c r="B1072" s="24" t="s">
        <v>909</v>
      </c>
      <c r="C1072" s="16"/>
      <c r="D1072" s="26">
        <v>50.03</v>
      </c>
      <c r="E1072" s="23"/>
      <c r="F1072" s="215"/>
      <c r="G1072" s="70"/>
      <c r="H1072" s="108"/>
    </row>
    <row r="1073" spans="1:8" s="82" customFormat="1" x14ac:dyDescent="0.2">
      <c r="A1073" s="376"/>
      <c r="B1073" s="20"/>
      <c r="C1073" s="16"/>
      <c r="D1073" s="26"/>
      <c r="E1073" s="23"/>
      <c r="F1073" s="215"/>
      <c r="G1073" s="70"/>
      <c r="H1073" s="108"/>
    </row>
    <row r="1074" spans="1:8" s="82" customFormat="1" x14ac:dyDescent="0.2">
      <c r="A1074" s="376"/>
      <c r="B1074" s="138" t="s">
        <v>996</v>
      </c>
      <c r="C1074" s="16" t="s">
        <v>37</v>
      </c>
      <c r="D1074" s="26">
        <f>SUM(D1065:D1073)</f>
        <v>250.15</v>
      </c>
      <c r="E1074" s="40"/>
      <c r="F1074" s="215">
        <f>D1074*E1074</f>
        <v>0</v>
      </c>
      <c r="G1074" s="70"/>
      <c r="H1074" s="108"/>
    </row>
    <row r="1075" spans="1:8" s="82" customFormat="1" x14ac:dyDescent="0.2">
      <c r="A1075" s="376"/>
      <c r="B1075" s="12"/>
      <c r="C1075" s="66"/>
      <c r="D1075" s="29"/>
      <c r="E1075" s="12"/>
      <c r="F1075" s="242"/>
      <c r="G1075" s="70"/>
      <c r="H1075" s="108"/>
    </row>
    <row r="1076" spans="1:8" s="82" customFormat="1" ht="38.25" x14ac:dyDescent="0.2">
      <c r="A1076" s="213" t="s">
        <v>144</v>
      </c>
      <c r="B1076" s="20" t="s">
        <v>481</v>
      </c>
      <c r="C1076" s="16"/>
      <c r="D1076" s="26"/>
      <c r="E1076" s="23"/>
      <c r="F1076" s="215"/>
      <c r="G1076" s="70"/>
      <c r="H1076" s="108"/>
    </row>
    <row r="1077" spans="1:8" s="82" customFormat="1" ht="38.25" x14ac:dyDescent="0.2">
      <c r="A1077" s="376"/>
      <c r="B1077" s="20" t="s">
        <v>482</v>
      </c>
      <c r="C1077" s="16"/>
      <c r="D1077" s="26"/>
      <c r="E1077" s="23"/>
      <c r="F1077" s="215"/>
      <c r="G1077" s="70"/>
      <c r="H1077" s="108"/>
    </row>
    <row r="1078" spans="1:8" s="82" customFormat="1" x14ac:dyDescent="0.2">
      <c r="A1078" s="376"/>
      <c r="B1078" s="24"/>
      <c r="C1078" s="16"/>
      <c r="D1078" s="26"/>
      <c r="E1078" s="23"/>
      <c r="F1078" s="215"/>
      <c r="G1078" s="70"/>
      <c r="H1078" s="108"/>
    </row>
    <row r="1079" spans="1:8" s="82" customFormat="1" ht="38.25" x14ac:dyDescent="0.2">
      <c r="A1079" s="376"/>
      <c r="B1079" s="24" t="s">
        <v>483</v>
      </c>
      <c r="C1079" s="16"/>
      <c r="D1079" s="26"/>
      <c r="E1079" s="23"/>
      <c r="F1079" s="215"/>
      <c r="G1079" s="70"/>
      <c r="H1079" s="108"/>
    </row>
    <row r="1080" spans="1:8" s="82" customFormat="1" ht="25.5" x14ac:dyDescent="0.2">
      <c r="A1080" s="376"/>
      <c r="B1080" s="24" t="s">
        <v>484</v>
      </c>
      <c r="C1080" s="16"/>
      <c r="D1080" s="26"/>
      <c r="E1080" s="23"/>
      <c r="F1080" s="215"/>
      <c r="G1080" s="70"/>
      <c r="H1080" s="108"/>
    </row>
    <row r="1081" spans="1:8" s="82" customFormat="1" ht="51" x14ac:dyDescent="0.2">
      <c r="A1081" s="376"/>
      <c r="B1081" s="35" t="s">
        <v>466</v>
      </c>
      <c r="C1081" s="16"/>
      <c r="D1081" s="26"/>
      <c r="E1081" s="23"/>
      <c r="F1081" s="215"/>
      <c r="G1081" s="70"/>
      <c r="H1081" s="108"/>
    </row>
    <row r="1082" spans="1:8" s="82" customFormat="1" ht="13.5" thickBot="1" x14ac:dyDescent="0.25">
      <c r="A1082" s="388"/>
      <c r="B1082" s="305" t="s">
        <v>467</v>
      </c>
      <c r="C1082" s="93"/>
      <c r="D1082" s="285"/>
      <c r="E1082" s="300"/>
      <c r="F1082" s="358"/>
      <c r="G1082" s="70"/>
      <c r="H1082" s="108"/>
    </row>
    <row r="1083" spans="1:8" s="82" customFormat="1" x14ac:dyDescent="0.2">
      <c r="A1083" s="376"/>
      <c r="B1083" s="20"/>
      <c r="C1083" s="16"/>
      <c r="D1083" s="26"/>
      <c r="E1083" s="23"/>
      <c r="F1083" s="215"/>
      <c r="G1083" s="70"/>
      <c r="H1083" s="108"/>
    </row>
    <row r="1084" spans="1:8" s="82" customFormat="1" x14ac:dyDescent="0.2">
      <c r="A1084" s="376"/>
      <c r="B1084" s="12" t="s">
        <v>485</v>
      </c>
      <c r="C1084" s="16"/>
      <c r="D1084" s="26"/>
      <c r="E1084" s="23"/>
      <c r="F1084" s="215"/>
      <c r="G1084" s="70"/>
      <c r="H1084" s="108"/>
    </row>
    <row r="1085" spans="1:8" s="82" customFormat="1" x14ac:dyDescent="0.2">
      <c r="A1085" s="376"/>
      <c r="B1085" s="26" t="s">
        <v>1000</v>
      </c>
      <c r="C1085" s="16" t="s">
        <v>37</v>
      </c>
      <c r="D1085" s="26">
        <f>380.43+74.77</f>
        <v>455.2</v>
      </c>
      <c r="E1085" s="40"/>
      <c r="F1085" s="215">
        <f>D1085*E1085</f>
        <v>0</v>
      </c>
      <c r="G1085" s="70"/>
      <c r="H1085" s="108"/>
    </row>
    <row r="1086" spans="1:8" s="82" customFormat="1" x14ac:dyDescent="0.2">
      <c r="A1086" s="376"/>
      <c r="B1086" s="65"/>
      <c r="C1086" s="25"/>
      <c r="D1086" s="25"/>
      <c r="E1086" s="25"/>
      <c r="F1086" s="214"/>
      <c r="G1086" s="70"/>
      <c r="H1086" s="108"/>
    </row>
    <row r="1087" spans="1:8" s="82" customFormat="1" ht="51" x14ac:dyDescent="0.2">
      <c r="A1087" s="213" t="s">
        <v>1485</v>
      </c>
      <c r="B1087" s="65" t="s">
        <v>1005</v>
      </c>
      <c r="C1087" s="65"/>
      <c r="D1087" s="69"/>
      <c r="E1087" s="25"/>
      <c r="F1087" s="214"/>
      <c r="G1087" s="70"/>
      <c r="H1087" s="108"/>
    </row>
    <row r="1088" spans="1:8" s="82" customFormat="1" ht="76.5" x14ac:dyDescent="0.2">
      <c r="A1088" s="213"/>
      <c r="B1088" s="65" t="s">
        <v>1006</v>
      </c>
      <c r="C1088" s="65"/>
      <c r="D1088" s="69"/>
      <c r="E1088" s="25"/>
      <c r="F1088" s="214"/>
      <c r="G1088" s="70"/>
      <c r="H1088" s="108"/>
    </row>
    <row r="1089" spans="1:8" s="82" customFormat="1" ht="51" x14ac:dyDescent="0.2">
      <c r="A1089" s="213"/>
      <c r="B1089" s="35" t="s">
        <v>466</v>
      </c>
      <c r="C1089" s="65"/>
      <c r="D1089" s="69"/>
      <c r="E1089" s="25"/>
      <c r="F1089" s="214"/>
      <c r="G1089" s="70"/>
      <c r="H1089" s="108"/>
    </row>
    <row r="1090" spans="1:8" s="82" customFormat="1" x14ac:dyDescent="0.2">
      <c r="A1090" s="213"/>
      <c r="B1090" s="35" t="s">
        <v>467</v>
      </c>
      <c r="C1090" s="65"/>
      <c r="D1090" s="69"/>
      <c r="E1090" s="25"/>
      <c r="F1090" s="214"/>
      <c r="G1090" s="70"/>
      <c r="H1090" s="108"/>
    </row>
    <row r="1091" spans="1:8" s="82" customFormat="1" x14ac:dyDescent="0.2">
      <c r="A1091" s="213"/>
      <c r="B1091" s="65"/>
      <c r="C1091" s="65"/>
      <c r="D1091" s="69"/>
      <c r="E1091" s="25"/>
      <c r="F1091" s="214"/>
      <c r="G1091" s="70"/>
      <c r="H1091" s="108"/>
    </row>
    <row r="1092" spans="1:8" s="82" customFormat="1" x14ac:dyDescent="0.2">
      <c r="A1092" s="213"/>
      <c r="B1092" s="65" t="s">
        <v>1007</v>
      </c>
      <c r="C1092" s="16" t="s">
        <v>37</v>
      </c>
      <c r="D1092" s="29">
        <v>80.010000000000005</v>
      </c>
      <c r="E1092" s="12"/>
      <c r="F1092" s="215">
        <f>D1092*E1092</f>
        <v>0</v>
      </c>
      <c r="G1092" s="70"/>
      <c r="H1092" s="108"/>
    </row>
    <row r="1093" spans="1:8" s="82" customFormat="1" x14ac:dyDescent="0.2">
      <c r="A1093" s="213"/>
      <c r="B1093" s="20"/>
      <c r="C1093" s="16"/>
      <c r="D1093" s="26"/>
      <c r="E1093" s="23"/>
      <c r="F1093" s="415"/>
      <c r="G1093" s="70"/>
      <c r="H1093" s="108"/>
    </row>
    <row r="1094" spans="1:8" s="82" customFormat="1" ht="38.25" x14ac:dyDescent="0.2">
      <c r="A1094" s="213" t="s">
        <v>203</v>
      </c>
      <c r="B1094" s="65" t="s">
        <v>1008</v>
      </c>
      <c r="C1094" s="65"/>
      <c r="D1094" s="69"/>
      <c r="E1094" s="25"/>
      <c r="F1094" s="214"/>
      <c r="G1094" s="70"/>
      <c r="H1094" s="108"/>
    </row>
    <row r="1095" spans="1:8" s="82" customFormat="1" x14ac:dyDescent="0.2">
      <c r="A1095" s="213"/>
      <c r="B1095" s="65" t="s">
        <v>1009</v>
      </c>
      <c r="C1095" s="65"/>
      <c r="D1095" s="69"/>
      <c r="E1095" s="25"/>
      <c r="F1095" s="214"/>
      <c r="G1095" s="70"/>
      <c r="H1095" s="108"/>
    </row>
    <row r="1096" spans="1:8" s="82" customFormat="1" ht="38.25" x14ac:dyDescent="0.2">
      <c r="A1096" s="213"/>
      <c r="B1096" s="64" t="s">
        <v>1010</v>
      </c>
      <c r="C1096" s="65"/>
      <c r="D1096" s="69"/>
      <c r="E1096" s="25"/>
      <c r="F1096" s="214"/>
      <c r="G1096" s="70"/>
      <c r="H1096" s="108"/>
    </row>
    <row r="1097" spans="1:8" s="82" customFormat="1" ht="51" x14ac:dyDescent="0.2">
      <c r="A1097" s="213"/>
      <c r="B1097" s="64" t="s">
        <v>1011</v>
      </c>
      <c r="C1097" s="65"/>
      <c r="D1097" s="69"/>
      <c r="E1097" s="25"/>
      <c r="F1097" s="214"/>
      <c r="G1097" s="70"/>
      <c r="H1097" s="108"/>
    </row>
    <row r="1098" spans="1:8" s="82" customFormat="1" ht="76.5" x14ac:dyDescent="0.2">
      <c r="A1098" s="213"/>
      <c r="B1098" s="64" t="s">
        <v>1012</v>
      </c>
      <c r="C1098" s="65"/>
      <c r="D1098" s="69"/>
      <c r="E1098" s="25"/>
      <c r="F1098" s="214"/>
      <c r="G1098" s="70"/>
      <c r="H1098" s="108"/>
    </row>
    <row r="1099" spans="1:8" s="82" customFormat="1" ht="51" x14ac:dyDescent="0.2">
      <c r="A1099" s="213"/>
      <c r="B1099" s="35" t="s">
        <v>466</v>
      </c>
      <c r="C1099" s="65"/>
      <c r="D1099" s="69"/>
      <c r="E1099" s="25"/>
      <c r="F1099" s="214"/>
      <c r="G1099" s="70"/>
      <c r="H1099" s="108"/>
    </row>
    <row r="1100" spans="1:8" s="82" customFormat="1" x14ac:dyDescent="0.2">
      <c r="A1100" s="213"/>
      <c r="B1100" s="15" t="s">
        <v>467</v>
      </c>
      <c r="C1100" s="16" t="s">
        <v>37</v>
      </c>
      <c r="D1100" s="29">
        <v>47.44</v>
      </c>
      <c r="E1100" s="12"/>
      <c r="F1100" s="215">
        <f>D1100*E1100</f>
        <v>0</v>
      </c>
      <c r="G1100" s="70"/>
      <c r="H1100" s="108"/>
    </row>
    <row r="1101" spans="1:8" s="82" customFormat="1" x14ac:dyDescent="0.2">
      <c r="A1101" s="376"/>
      <c r="B1101" s="65"/>
      <c r="C1101" s="25"/>
      <c r="D1101" s="25"/>
      <c r="E1101" s="25"/>
      <c r="F1101" s="214"/>
      <c r="G1101" s="70"/>
      <c r="H1101" s="108"/>
    </row>
    <row r="1102" spans="1:8" s="82" customFormat="1" ht="38.25" x14ac:dyDescent="0.2">
      <c r="A1102" s="213" t="s">
        <v>222</v>
      </c>
      <c r="B1102" s="20" t="s">
        <v>1002</v>
      </c>
      <c r="C1102" s="16"/>
      <c r="D1102" s="26"/>
      <c r="E1102" s="23"/>
      <c r="F1102" s="415"/>
      <c r="G1102" s="70"/>
      <c r="H1102" s="108"/>
    </row>
    <row r="1103" spans="1:8" s="82" customFormat="1" ht="25.5" x14ac:dyDescent="0.2">
      <c r="A1103" s="376"/>
      <c r="B1103" s="20" t="s">
        <v>695</v>
      </c>
      <c r="C1103" s="16"/>
      <c r="D1103" s="26"/>
      <c r="E1103" s="23"/>
      <c r="F1103" s="215"/>
      <c r="G1103" s="70"/>
      <c r="H1103" s="108"/>
    </row>
    <row r="1104" spans="1:8" s="82" customFormat="1" ht="39" thickBot="1" x14ac:dyDescent="0.25">
      <c r="A1104" s="388"/>
      <c r="B1104" s="301" t="s">
        <v>696</v>
      </c>
      <c r="C1104" s="93"/>
      <c r="D1104" s="285"/>
      <c r="E1104" s="300"/>
      <c r="F1104" s="358"/>
      <c r="G1104" s="70"/>
      <c r="H1104" s="108"/>
    </row>
    <row r="1105" spans="1:9" s="82" customFormat="1" x14ac:dyDescent="0.2">
      <c r="A1105" s="376"/>
      <c r="B1105" s="111"/>
      <c r="C1105" s="16"/>
      <c r="D1105" s="26"/>
      <c r="E1105" s="23"/>
      <c r="F1105" s="215"/>
      <c r="G1105" s="70"/>
      <c r="H1105" s="108"/>
    </row>
    <row r="1106" spans="1:9" s="82" customFormat="1" ht="51" x14ac:dyDescent="0.2">
      <c r="A1106" s="376"/>
      <c r="B1106" s="35" t="s">
        <v>466</v>
      </c>
      <c r="C1106" s="16"/>
      <c r="D1106" s="26"/>
      <c r="E1106" s="23"/>
      <c r="F1106" s="215"/>
      <c r="G1106" s="70"/>
      <c r="H1106" s="108"/>
    </row>
    <row r="1107" spans="1:9" s="82" customFormat="1" x14ac:dyDescent="0.2">
      <c r="A1107" s="376"/>
      <c r="B1107" s="35" t="s">
        <v>467</v>
      </c>
      <c r="C1107" s="16"/>
      <c r="D1107" s="26"/>
      <c r="E1107" s="23"/>
      <c r="F1107" s="215"/>
      <c r="G1107" s="70"/>
      <c r="H1107" s="108"/>
    </row>
    <row r="1108" spans="1:9" s="82" customFormat="1" x14ac:dyDescent="0.2">
      <c r="A1108" s="376"/>
      <c r="B1108" s="20"/>
      <c r="C1108" s="16"/>
      <c r="D1108" s="26"/>
      <c r="E1108" s="23"/>
      <c r="F1108" s="215"/>
      <c r="G1108" s="70"/>
      <c r="H1108" s="108"/>
    </row>
    <row r="1109" spans="1:9" s="82" customFormat="1" ht="38.25" x14ac:dyDescent="0.2">
      <c r="A1109" s="376"/>
      <c r="B1109" s="20" t="s">
        <v>839</v>
      </c>
      <c r="C1109" s="16"/>
      <c r="D1109" s="26"/>
      <c r="E1109" s="23"/>
      <c r="F1109" s="215"/>
      <c r="G1109" s="70"/>
      <c r="H1109" s="108"/>
    </row>
    <row r="1110" spans="1:9" s="82" customFormat="1" x14ac:dyDescent="0.2">
      <c r="A1110" s="376"/>
      <c r="B1110" s="20"/>
      <c r="C1110" s="16"/>
      <c r="D1110" s="26"/>
      <c r="E1110" s="23"/>
      <c r="F1110" s="215"/>
      <c r="G1110" s="70"/>
      <c r="H1110" s="108"/>
    </row>
    <row r="1111" spans="1:9" s="82" customFormat="1" ht="25.5" x14ac:dyDescent="0.2">
      <c r="A1111" s="376"/>
      <c r="B1111" s="277" t="s">
        <v>840</v>
      </c>
      <c r="C1111" s="16" t="s">
        <v>37</v>
      </c>
      <c r="D1111" s="64">
        <f>67.74+78.79+42.07+44.36+53.35+33.68+53.19+52.7+7.46</f>
        <v>433.34</v>
      </c>
      <c r="E1111" s="12"/>
      <c r="F1111" s="215">
        <f>D1111*E1111</f>
        <v>0</v>
      </c>
      <c r="G1111" s="70"/>
      <c r="H1111" s="108"/>
    </row>
    <row r="1112" spans="1:9" x14ac:dyDescent="0.2">
      <c r="A1112" s="376"/>
      <c r="B1112" s="25"/>
      <c r="C1112" s="16"/>
      <c r="D1112" s="26"/>
      <c r="E1112" s="12"/>
      <c r="F1112" s="414"/>
      <c r="G1112" s="82"/>
      <c r="H1112" s="82"/>
      <c r="I1112" s="82"/>
    </row>
    <row r="1113" spans="1:9" ht="38.25" x14ac:dyDescent="0.2">
      <c r="A1113" s="213" t="s">
        <v>223</v>
      </c>
      <c r="B1113" s="20" t="s">
        <v>1003</v>
      </c>
      <c r="C1113" s="16"/>
      <c r="D1113" s="26"/>
      <c r="E1113" s="23"/>
      <c r="F1113" s="215"/>
      <c r="G1113" s="82"/>
      <c r="H1113" s="82"/>
      <c r="I1113" s="82"/>
    </row>
    <row r="1114" spans="1:9" ht="102" x14ac:dyDescent="0.2">
      <c r="A1114" s="376"/>
      <c r="B1114" s="20" t="s">
        <v>487</v>
      </c>
      <c r="C1114" s="16"/>
      <c r="D1114" s="26"/>
      <c r="E1114" s="23"/>
      <c r="F1114" s="215"/>
      <c r="G1114" s="82"/>
      <c r="H1114" s="82"/>
      <c r="I1114" s="82"/>
    </row>
    <row r="1115" spans="1:9" ht="76.5" x14ac:dyDescent="0.2">
      <c r="A1115" s="376"/>
      <c r="B1115" s="35" t="s">
        <v>465</v>
      </c>
      <c r="C1115" s="16"/>
      <c r="D1115" s="26"/>
      <c r="E1115" s="23"/>
      <c r="F1115" s="215"/>
      <c r="G1115" s="82"/>
      <c r="H1115" s="82"/>
      <c r="I1115" s="82"/>
    </row>
    <row r="1116" spans="1:9" ht="51" x14ac:dyDescent="0.2">
      <c r="A1116" s="376"/>
      <c r="B1116" s="35" t="s">
        <v>466</v>
      </c>
      <c r="C1116" s="16"/>
      <c r="D1116" s="26"/>
      <c r="E1116" s="23"/>
      <c r="F1116" s="215"/>
      <c r="G1116" s="82"/>
      <c r="H1116" s="82"/>
      <c r="I1116" s="82"/>
    </row>
    <row r="1117" spans="1:9" ht="14.25" customHeight="1" x14ac:dyDescent="0.2">
      <c r="A1117" s="376"/>
      <c r="B1117" s="35" t="s">
        <v>467</v>
      </c>
      <c r="C1117" s="16"/>
      <c r="D1117" s="26"/>
      <c r="E1117" s="23"/>
      <c r="F1117" s="215"/>
      <c r="G1117" s="82"/>
      <c r="H1117" s="82"/>
      <c r="I1117" s="82"/>
    </row>
    <row r="1118" spans="1:9" x14ac:dyDescent="0.2">
      <c r="A1118" s="376"/>
      <c r="B1118" s="20"/>
      <c r="C1118" s="16"/>
      <c r="D1118" s="26"/>
      <c r="E1118" s="23"/>
      <c r="F1118" s="215"/>
      <c r="G1118" s="82"/>
      <c r="H1118" s="82"/>
      <c r="I1118" s="82"/>
    </row>
    <row r="1119" spans="1:9" ht="38.25" x14ac:dyDescent="0.2">
      <c r="A1119" s="376"/>
      <c r="B1119" s="20" t="s">
        <v>488</v>
      </c>
      <c r="C1119" s="16"/>
      <c r="D1119" s="26"/>
      <c r="E1119" s="23"/>
      <c r="F1119" s="215"/>
    </row>
    <row r="1120" spans="1:9" ht="25.5" x14ac:dyDescent="0.2">
      <c r="A1120" s="376"/>
      <c r="B1120" s="64" t="s">
        <v>489</v>
      </c>
      <c r="C1120" s="16" t="s">
        <v>37</v>
      </c>
      <c r="D1120" s="64">
        <f>4.15+4.28+3.13+11.36+10.16+1.02+1.46</f>
        <v>35.56</v>
      </c>
      <c r="E1120" s="12"/>
      <c r="F1120" s="215">
        <f>D1120*E1120</f>
        <v>0</v>
      </c>
    </row>
    <row r="1121" spans="1:6" x14ac:dyDescent="0.2">
      <c r="A1121" s="376"/>
      <c r="B1121" s="64"/>
      <c r="C1121" s="16"/>
      <c r="D1121" s="64"/>
      <c r="E1121" s="12"/>
      <c r="F1121" s="215"/>
    </row>
    <row r="1122" spans="1:6" ht="38.25" x14ac:dyDescent="0.2">
      <c r="A1122" s="213" t="s">
        <v>224</v>
      </c>
      <c r="B1122" s="20" t="s">
        <v>1003</v>
      </c>
      <c r="C1122" s="16"/>
      <c r="D1122" s="26"/>
      <c r="E1122" s="23"/>
      <c r="F1122" s="215"/>
    </row>
    <row r="1123" spans="1:6" ht="38.25" x14ac:dyDescent="0.2">
      <c r="A1123" s="376"/>
      <c r="B1123" s="20" t="s">
        <v>672</v>
      </c>
      <c r="C1123" s="16"/>
      <c r="D1123" s="26"/>
      <c r="E1123" s="23"/>
      <c r="F1123" s="215"/>
    </row>
    <row r="1124" spans="1:6" ht="39" thickBot="1" x14ac:dyDescent="0.25">
      <c r="A1124" s="388"/>
      <c r="B1124" s="301" t="s">
        <v>486</v>
      </c>
      <c r="C1124" s="93"/>
      <c r="D1124" s="285"/>
      <c r="E1124" s="300"/>
      <c r="F1124" s="358"/>
    </row>
    <row r="1125" spans="1:6" x14ac:dyDescent="0.2">
      <c r="A1125" s="376"/>
      <c r="B1125" s="111"/>
      <c r="C1125" s="16"/>
      <c r="D1125" s="26"/>
      <c r="E1125" s="23"/>
      <c r="F1125" s="215"/>
    </row>
    <row r="1126" spans="1:6" ht="51" x14ac:dyDescent="0.2">
      <c r="A1126" s="376"/>
      <c r="B1126" s="35" t="s">
        <v>466</v>
      </c>
      <c r="C1126" s="16"/>
      <c r="D1126" s="26"/>
      <c r="E1126" s="23"/>
      <c r="F1126" s="215"/>
    </row>
    <row r="1127" spans="1:6" x14ac:dyDescent="0.2">
      <c r="A1127" s="376"/>
      <c r="B1127" s="35" t="s">
        <v>467</v>
      </c>
      <c r="C1127" s="16"/>
      <c r="D1127" s="26"/>
      <c r="E1127" s="23"/>
      <c r="F1127" s="215"/>
    </row>
    <row r="1128" spans="1:6" x14ac:dyDescent="0.2">
      <c r="A1128" s="376"/>
      <c r="B1128" s="20"/>
      <c r="C1128" s="16"/>
      <c r="D1128" s="26"/>
      <c r="E1128" s="23"/>
      <c r="F1128" s="215"/>
    </row>
    <row r="1129" spans="1:6" ht="38.25" x14ac:dyDescent="0.2">
      <c r="A1129" s="376"/>
      <c r="B1129" s="20" t="s">
        <v>1013</v>
      </c>
      <c r="C1129" s="16"/>
      <c r="D1129" s="26"/>
      <c r="E1129" s="23"/>
      <c r="F1129" s="215"/>
    </row>
    <row r="1130" spans="1:6" x14ac:dyDescent="0.2">
      <c r="A1130" s="376"/>
      <c r="B1130" s="20"/>
      <c r="C1130" s="16"/>
      <c r="D1130" s="26"/>
      <c r="E1130" s="23"/>
      <c r="F1130" s="215"/>
    </row>
    <row r="1131" spans="1:6" x14ac:dyDescent="0.2">
      <c r="A1131" s="376"/>
      <c r="B1131" s="20" t="s">
        <v>26</v>
      </c>
      <c r="C1131" s="16"/>
      <c r="D1131" s="26"/>
      <c r="E1131" s="23"/>
      <c r="F1131" s="215"/>
    </row>
    <row r="1132" spans="1:6" ht="25.5" x14ac:dyDescent="0.2">
      <c r="A1132" s="376"/>
      <c r="B1132" s="64" t="s">
        <v>1014</v>
      </c>
      <c r="C1132" s="16"/>
      <c r="D1132" s="64">
        <f>53.19+36.21+53.34+44.32+42.06+18.53+67.78+63.99</f>
        <v>379.42</v>
      </c>
      <c r="E1132" s="23"/>
      <c r="F1132" s="215"/>
    </row>
    <row r="1133" spans="1:6" x14ac:dyDescent="0.2">
      <c r="A1133" s="376"/>
      <c r="B1133" s="20"/>
      <c r="C1133" s="16"/>
      <c r="D1133" s="26"/>
      <c r="E1133" s="23"/>
      <c r="F1133" s="215"/>
    </row>
    <row r="1134" spans="1:6" x14ac:dyDescent="0.2">
      <c r="A1134" s="376"/>
      <c r="B1134" s="20" t="s">
        <v>1015</v>
      </c>
      <c r="C1134" s="16"/>
      <c r="D1134" s="26"/>
      <c r="E1134" s="23"/>
      <c r="F1134" s="215"/>
    </row>
    <row r="1135" spans="1:6" x14ac:dyDescent="0.2">
      <c r="A1135" s="376"/>
      <c r="B1135" s="24" t="s">
        <v>1016</v>
      </c>
      <c r="C1135" s="16"/>
      <c r="D1135" s="24">
        <f>3.13+4.26+4.34</f>
        <v>11.73</v>
      </c>
      <c r="E1135" s="23"/>
      <c r="F1135" s="215"/>
    </row>
    <row r="1136" spans="1:6" x14ac:dyDescent="0.2">
      <c r="A1136" s="376"/>
      <c r="B1136" s="24"/>
      <c r="C1136" s="16"/>
      <c r="D1136" s="26"/>
      <c r="E1136" s="23"/>
      <c r="F1136" s="215"/>
    </row>
    <row r="1137" spans="1:6" x14ac:dyDescent="0.2">
      <c r="A1137" s="376"/>
      <c r="B1137" s="64" t="s">
        <v>1486</v>
      </c>
      <c r="C1137" s="16" t="s">
        <v>37</v>
      </c>
      <c r="D1137" s="64">
        <f>SUM(D1132:D1136)</f>
        <v>391.15000000000003</v>
      </c>
      <c r="E1137" s="12"/>
      <c r="F1137" s="215">
        <f>D1137*E1137</f>
        <v>0</v>
      </c>
    </row>
    <row r="1138" spans="1:6" x14ac:dyDescent="0.2">
      <c r="A1138" s="376"/>
      <c r="B1138" s="20"/>
      <c r="C1138" s="16"/>
      <c r="D1138" s="26"/>
      <c r="E1138" s="23"/>
      <c r="F1138" s="215"/>
    </row>
    <row r="1139" spans="1:6" ht="38.25" x14ac:dyDescent="0.2">
      <c r="A1139" s="213" t="s">
        <v>694</v>
      </c>
      <c r="B1139" s="20" t="s">
        <v>1004</v>
      </c>
      <c r="C1139" s="16"/>
      <c r="D1139" s="26"/>
      <c r="E1139" s="23"/>
      <c r="F1139" s="215"/>
    </row>
    <row r="1140" spans="1:6" ht="38.25" x14ac:dyDescent="0.2">
      <c r="A1140" s="376"/>
      <c r="B1140" s="20" t="s">
        <v>491</v>
      </c>
      <c r="C1140" s="16"/>
      <c r="D1140" s="26"/>
      <c r="E1140" s="23"/>
      <c r="F1140" s="215"/>
    </row>
    <row r="1141" spans="1:6" ht="38.25" x14ac:dyDescent="0.2">
      <c r="A1141" s="376"/>
      <c r="B1141" s="35" t="s">
        <v>693</v>
      </c>
      <c r="C1141" s="16"/>
      <c r="D1141" s="26"/>
      <c r="E1141" s="23"/>
      <c r="F1141" s="215"/>
    </row>
    <row r="1142" spans="1:6" x14ac:dyDescent="0.2">
      <c r="A1142" s="376"/>
      <c r="B1142" s="35" t="s">
        <v>467</v>
      </c>
      <c r="C1142" s="16"/>
      <c r="D1142" s="26"/>
      <c r="E1142" s="23"/>
      <c r="F1142" s="215"/>
    </row>
    <row r="1143" spans="1:6" s="82" customFormat="1" x14ac:dyDescent="0.2">
      <c r="A1143" s="376"/>
      <c r="B1143" s="20"/>
      <c r="C1143" s="16"/>
      <c r="D1143" s="26"/>
      <c r="E1143" s="23"/>
      <c r="F1143" s="215"/>
    </row>
    <row r="1144" spans="1:6" s="82" customFormat="1" x14ac:dyDescent="0.2">
      <c r="A1144" s="376"/>
      <c r="B1144" s="138" t="s">
        <v>492</v>
      </c>
      <c r="C1144" s="16" t="s">
        <v>37</v>
      </c>
      <c r="D1144" s="26">
        <v>23.27</v>
      </c>
      <c r="E1144" s="40"/>
      <c r="F1144" s="215">
        <f>D1144*E1144</f>
        <v>0</v>
      </c>
    </row>
    <row r="1145" spans="1:6" s="82" customFormat="1" x14ac:dyDescent="0.2">
      <c r="A1145" s="376"/>
      <c r="B1145" s="20"/>
      <c r="C1145" s="16"/>
      <c r="D1145" s="26"/>
      <c r="E1145" s="23"/>
      <c r="F1145" s="215"/>
    </row>
    <row r="1146" spans="1:6" s="82" customFormat="1" ht="38.25" x14ac:dyDescent="0.2">
      <c r="A1146" s="213" t="s">
        <v>1487</v>
      </c>
      <c r="B1146" s="65" t="s">
        <v>490</v>
      </c>
      <c r="C1146" s="25"/>
      <c r="D1146" s="25"/>
      <c r="E1146" s="23"/>
      <c r="F1146" s="215"/>
    </row>
    <row r="1147" spans="1:6" s="82" customFormat="1" ht="51" x14ac:dyDescent="0.2">
      <c r="A1147" s="213"/>
      <c r="B1147" s="65" t="s">
        <v>673</v>
      </c>
      <c r="C1147" s="25"/>
      <c r="D1147" s="25"/>
      <c r="E1147" s="23"/>
      <c r="F1147" s="215"/>
    </row>
    <row r="1148" spans="1:6" ht="13.5" thickBot="1" x14ac:dyDescent="0.25">
      <c r="A1148" s="388"/>
      <c r="B1148" s="325" t="s">
        <v>40</v>
      </c>
      <c r="C1148" s="71"/>
      <c r="D1148" s="71"/>
      <c r="E1148" s="300"/>
      <c r="F1148" s="358"/>
    </row>
    <row r="1149" spans="1:6" x14ac:dyDescent="0.2">
      <c r="A1149" s="376"/>
      <c r="B1149" s="36"/>
      <c r="C1149" s="25"/>
      <c r="D1149" s="25"/>
      <c r="E1149" s="23"/>
      <c r="F1149" s="215"/>
    </row>
    <row r="1150" spans="1:6" x14ac:dyDescent="0.2">
      <c r="A1150" s="376"/>
      <c r="B1150" s="25" t="s">
        <v>26</v>
      </c>
      <c r="C1150" s="25"/>
      <c r="D1150" s="25"/>
      <c r="E1150" s="23"/>
      <c r="F1150" s="215"/>
    </row>
    <row r="1151" spans="1:6" x14ac:dyDescent="0.2">
      <c r="A1151" s="376"/>
      <c r="B1151" s="26" t="s">
        <v>841</v>
      </c>
      <c r="C1151" s="25"/>
      <c r="D1151" s="25">
        <f>3.51*5+4.06*2</f>
        <v>25.669999999999995</v>
      </c>
      <c r="E1151" s="23"/>
      <c r="F1151" s="215"/>
    </row>
    <row r="1152" spans="1:6" x14ac:dyDescent="0.2">
      <c r="A1152" s="376"/>
      <c r="B1152" s="25"/>
      <c r="C1152" s="25"/>
      <c r="D1152" s="25"/>
      <c r="E1152" s="23"/>
      <c r="F1152" s="215"/>
    </row>
    <row r="1153" spans="1:10" x14ac:dyDescent="0.2">
      <c r="A1153" s="376"/>
      <c r="B1153" s="25" t="s">
        <v>898</v>
      </c>
      <c r="C1153" s="25"/>
      <c r="D1153" s="25"/>
      <c r="E1153" s="23"/>
      <c r="F1153" s="215"/>
    </row>
    <row r="1154" spans="1:10" x14ac:dyDescent="0.2">
      <c r="A1154" s="376"/>
      <c r="B1154" s="26" t="s">
        <v>842</v>
      </c>
      <c r="C1154" s="25"/>
      <c r="D1154" s="25">
        <f>3.51*6+4.06*2</f>
        <v>29.18</v>
      </c>
      <c r="E1154" s="23"/>
      <c r="F1154" s="215"/>
    </row>
    <row r="1155" spans="1:10" x14ac:dyDescent="0.2">
      <c r="A1155" s="376"/>
      <c r="B1155" s="25"/>
      <c r="C1155" s="25"/>
      <c r="D1155" s="25"/>
      <c r="E1155" s="23"/>
      <c r="F1155" s="215"/>
    </row>
    <row r="1156" spans="1:10" x14ac:dyDescent="0.2">
      <c r="A1156" s="376"/>
      <c r="B1156" s="25" t="s">
        <v>899</v>
      </c>
      <c r="C1156" s="25"/>
      <c r="D1156" s="25"/>
      <c r="E1156" s="23"/>
      <c r="F1156" s="215"/>
    </row>
    <row r="1157" spans="1:10" x14ac:dyDescent="0.2">
      <c r="A1157" s="376"/>
      <c r="B1157" s="26" t="s">
        <v>1017</v>
      </c>
      <c r="C1157" s="25"/>
      <c r="D1157" s="25">
        <f>(3.51*6+4.06*2)*2</f>
        <v>58.36</v>
      </c>
      <c r="E1157" s="23"/>
      <c r="F1157" s="215"/>
    </row>
    <row r="1158" spans="1:10" x14ac:dyDescent="0.2">
      <c r="A1158" s="376"/>
      <c r="B1158" s="26"/>
      <c r="C1158" s="25"/>
      <c r="D1158" s="25"/>
      <c r="E1158" s="23"/>
      <c r="F1158" s="215"/>
    </row>
    <row r="1159" spans="1:10" x14ac:dyDescent="0.2">
      <c r="A1159" s="376"/>
      <c r="B1159" s="26" t="s">
        <v>909</v>
      </c>
      <c r="C1159" s="25"/>
      <c r="D1159" s="25"/>
      <c r="E1159" s="23"/>
      <c r="F1159" s="215"/>
    </row>
    <row r="1160" spans="1:10" x14ac:dyDescent="0.2">
      <c r="A1160" s="376"/>
      <c r="B1160" s="26" t="s">
        <v>842</v>
      </c>
      <c r="C1160" s="25"/>
      <c r="D1160" s="25">
        <f>3.51*6+4.06*2</f>
        <v>29.18</v>
      </c>
      <c r="E1160" s="23"/>
      <c r="F1160" s="215"/>
    </row>
    <row r="1161" spans="1:10" x14ac:dyDescent="0.2">
      <c r="A1161" s="376"/>
      <c r="B1161" s="24"/>
      <c r="C1161" s="25"/>
      <c r="D1161" s="25"/>
      <c r="E1161" s="23"/>
      <c r="F1161" s="215"/>
    </row>
    <row r="1162" spans="1:10" x14ac:dyDescent="0.2">
      <c r="A1162" s="376"/>
      <c r="B1162" s="25" t="s">
        <v>1488</v>
      </c>
      <c r="C1162" s="16" t="s">
        <v>37</v>
      </c>
      <c r="D1162" s="26">
        <f>SUM(D1151:D1161)</f>
        <v>142.38999999999999</v>
      </c>
      <c r="E1162" s="12"/>
      <c r="F1162" s="215">
        <f>D1162*E1162</f>
        <v>0</v>
      </c>
    </row>
    <row r="1163" spans="1:10" ht="13.5" thickBot="1" x14ac:dyDescent="0.25">
      <c r="A1163" s="376"/>
      <c r="B1163" s="100"/>
      <c r="C1163" s="41"/>
      <c r="D1163" s="103"/>
      <c r="E1163" s="25"/>
      <c r="F1163" s="215"/>
    </row>
    <row r="1164" spans="1:10" s="2" customFormat="1" ht="15.95" customHeight="1" thickBot="1" x14ac:dyDescent="0.25">
      <c r="A1164" s="416" t="str">
        <f>A803</f>
        <v>6.</v>
      </c>
      <c r="B1164" s="132" t="s">
        <v>57</v>
      </c>
      <c r="C1164" s="133"/>
      <c r="D1164" s="132"/>
      <c r="E1164" s="55"/>
      <c r="F1164" s="417">
        <f>SUM(F810:F1163)</f>
        <v>0</v>
      </c>
      <c r="G1164" s="4"/>
      <c r="H1164" s="3"/>
      <c r="I1164" s="3"/>
      <c r="J1164" s="3"/>
    </row>
    <row r="1165" spans="1:10" s="2" customFormat="1" ht="15.95" customHeight="1" thickBot="1" x14ac:dyDescent="0.25">
      <c r="A1165" s="239" t="s">
        <v>8</v>
      </c>
      <c r="B1165" s="52" t="s">
        <v>102</v>
      </c>
      <c r="C1165" s="53"/>
      <c r="D1165" s="54"/>
      <c r="E1165" s="139"/>
      <c r="F1165" s="237"/>
      <c r="G1165" s="254"/>
      <c r="H1165" s="254"/>
      <c r="I1165" s="3"/>
      <c r="J1165" s="3"/>
    </row>
    <row r="1166" spans="1:10" x14ac:dyDescent="0.2">
      <c r="A1166" s="376"/>
      <c r="B1166" s="25"/>
      <c r="C1166" s="25"/>
      <c r="D1166" s="25"/>
      <c r="E1166" s="23"/>
      <c r="F1166" s="242"/>
    </row>
    <row r="1167" spans="1:10" ht="51" x14ac:dyDescent="0.2">
      <c r="A1167" s="213" t="s">
        <v>11</v>
      </c>
      <c r="B1167" s="25" t="s">
        <v>493</v>
      </c>
      <c r="C1167" s="25"/>
      <c r="D1167" s="25"/>
      <c r="E1167" s="23"/>
      <c r="F1167" s="242"/>
    </row>
    <row r="1168" spans="1:10" ht="38.25" x14ac:dyDescent="0.2">
      <c r="A1168" s="376"/>
      <c r="B1168" s="25" t="s">
        <v>494</v>
      </c>
      <c r="C1168" s="25"/>
      <c r="D1168" s="25"/>
      <c r="E1168" s="23"/>
      <c r="F1168" s="242"/>
    </row>
    <row r="1169" spans="1:6" ht="25.5" x14ac:dyDescent="0.2">
      <c r="A1169" s="376"/>
      <c r="B1169" s="25" t="s">
        <v>495</v>
      </c>
      <c r="C1169" s="25"/>
      <c r="D1169" s="25"/>
      <c r="E1169" s="23"/>
      <c r="F1169" s="242"/>
    </row>
    <row r="1170" spans="1:6" ht="25.5" x14ac:dyDescent="0.2">
      <c r="A1170" s="376"/>
      <c r="B1170" s="25" t="s">
        <v>496</v>
      </c>
      <c r="C1170" s="25"/>
      <c r="D1170" s="25"/>
      <c r="E1170" s="23"/>
      <c r="F1170" s="242"/>
    </row>
    <row r="1171" spans="1:6" ht="38.25" x14ac:dyDescent="0.2">
      <c r="A1171" s="376"/>
      <c r="B1171" s="25" t="s">
        <v>497</v>
      </c>
      <c r="C1171" s="25"/>
      <c r="D1171" s="25"/>
      <c r="E1171" s="23"/>
      <c r="F1171" s="242"/>
    </row>
    <row r="1172" spans="1:6" ht="25.5" x14ac:dyDescent="0.2">
      <c r="A1172" s="376"/>
      <c r="B1172" s="25" t="s">
        <v>498</v>
      </c>
      <c r="C1172" s="25"/>
      <c r="D1172" s="25"/>
      <c r="E1172" s="23"/>
      <c r="F1172" s="242"/>
    </row>
    <row r="1173" spans="1:6" ht="63.75" x14ac:dyDescent="0.2">
      <c r="A1173" s="376"/>
      <c r="B1173" s="35" t="s">
        <v>499</v>
      </c>
      <c r="C1173" s="25"/>
      <c r="D1173" s="25"/>
      <c r="E1173" s="23"/>
      <c r="F1173" s="242"/>
    </row>
    <row r="1174" spans="1:6" x14ac:dyDescent="0.2">
      <c r="A1174" s="376"/>
      <c r="B1174" s="86"/>
      <c r="C1174" s="25"/>
      <c r="D1174" s="25"/>
      <c r="E1174" s="23"/>
      <c r="F1174" s="242"/>
    </row>
    <row r="1175" spans="1:6" ht="25.5" x14ac:dyDescent="0.2">
      <c r="A1175" s="216" t="s">
        <v>500</v>
      </c>
      <c r="B1175" s="25" t="s">
        <v>524</v>
      </c>
      <c r="C1175" s="25"/>
      <c r="D1175" s="25"/>
      <c r="E1175" s="23"/>
      <c r="F1175" s="242"/>
    </row>
    <row r="1176" spans="1:6" x14ac:dyDescent="0.2">
      <c r="A1176" s="216"/>
      <c r="B1176" s="25"/>
      <c r="C1176" s="25"/>
      <c r="D1176" s="25"/>
      <c r="E1176" s="23"/>
      <c r="F1176" s="242"/>
    </row>
    <row r="1177" spans="1:6" x14ac:dyDescent="0.2">
      <c r="A1177" s="216"/>
      <c r="B1177" s="25" t="s">
        <v>26</v>
      </c>
      <c r="C1177" s="25"/>
      <c r="D1177" s="25"/>
      <c r="E1177" s="23"/>
      <c r="F1177" s="242"/>
    </row>
    <row r="1178" spans="1:6" x14ac:dyDescent="0.2">
      <c r="A1178" s="216"/>
      <c r="B1178" s="26" t="s">
        <v>526</v>
      </c>
      <c r="C1178" s="25"/>
      <c r="D1178" s="26">
        <f>2.67*2.69</f>
        <v>7.1822999999999997</v>
      </c>
      <c r="E1178" s="23"/>
      <c r="F1178" s="242"/>
    </row>
    <row r="1179" spans="1:6" x14ac:dyDescent="0.2">
      <c r="A1179" s="216"/>
      <c r="B1179" s="25"/>
      <c r="C1179" s="25"/>
      <c r="D1179" s="25"/>
      <c r="E1179" s="23"/>
      <c r="F1179" s="242"/>
    </row>
    <row r="1180" spans="1:6" x14ac:dyDescent="0.2">
      <c r="A1180" s="216"/>
      <c r="B1180" s="25" t="s">
        <v>898</v>
      </c>
      <c r="C1180" s="25"/>
      <c r="D1180" s="25"/>
      <c r="E1180" s="23"/>
      <c r="F1180" s="242"/>
    </row>
    <row r="1181" spans="1:6" x14ac:dyDescent="0.2">
      <c r="A1181" s="216"/>
      <c r="B1181" s="26" t="s">
        <v>526</v>
      </c>
      <c r="C1181" s="25"/>
      <c r="D1181" s="26">
        <f>2.67*2.69</f>
        <v>7.1822999999999997</v>
      </c>
      <c r="E1181" s="23"/>
      <c r="F1181" s="242"/>
    </row>
    <row r="1182" spans="1:6" x14ac:dyDescent="0.2">
      <c r="A1182" s="216"/>
      <c r="B1182" s="25"/>
      <c r="C1182" s="25"/>
      <c r="D1182" s="25"/>
      <c r="E1182" s="23"/>
      <c r="F1182" s="242"/>
    </row>
    <row r="1183" spans="1:6" x14ac:dyDescent="0.2">
      <c r="A1183" s="376"/>
      <c r="B1183" s="25" t="s">
        <v>899</v>
      </c>
      <c r="C1183" s="25"/>
      <c r="D1183" s="25"/>
      <c r="E1183" s="23"/>
      <c r="F1183" s="242"/>
    </row>
    <row r="1184" spans="1:6" x14ac:dyDescent="0.2">
      <c r="A1184" s="376"/>
      <c r="B1184" s="26" t="s">
        <v>527</v>
      </c>
      <c r="C1184" s="25"/>
      <c r="D1184" s="25">
        <f>2.67*2.69*3</f>
        <v>21.546900000000001</v>
      </c>
      <c r="E1184" s="23"/>
      <c r="F1184" s="242"/>
    </row>
    <row r="1185" spans="1:11" x14ac:dyDescent="0.2">
      <c r="A1185" s="376"/>
      <c r="B1185" s="26"/>
      <c r="C1185" s="25"/>
      <c r="D1185" s="25"/>
      <c r="E1185" s="23"/>
      <c r="F1185" s="242"/>
    </row>
    <row r="1186" spans="1:11" x14ac:dyDescent="0.2">
      <c r="A1186" s="376"/>
      <c r="B1186" s="25" t="s">
        <v>525</v>
      </c>
      <c r="C1186" s="16" t="s">
        <v>37</v>
      </c>
      <c r="D1186" s="26">
        <f>SUM(D1175:D1184)</f>
        <v>35.911500000000004</v>
      </c>
      <c r="E1186" s="12"/>
      <c r="F1186" s="215">
        <f>E1186*D1186</f>
        <v>0</v>
      </c>
    </row>
    <row r="1187" spans="1:11" x14ac:dyDescent="0.2">
      <c r="A1187" s="376"/>
      <c r="B1187" s="86"/>
      <c r="C1187" s="25"/>
      <c r="D1187" s="25"/>
      <c r="E1187" s="23"/>
      <c r="F1187" s="242"/>
    </row>
    <row r="1188" spans="1:11" ht="38.25" x14ac:dyDescent="0.2">
      <c r="A1188" s="216" t="s">
        <v>501</v>
      </c>
      <c r="B1188" s="25" t="s">
        <v>523</v>
      </c>
      <c r="C1188" s="25"/>
      <c r="D1188" s="25"/>
      <c r="E1188" s="23"/>
      <c r="F1188" s="242"/>
    </row>
    <row r="1189" spans="1:11" x14ac:dyDescent="0.2">
      <c r="A1189" s="376"/>
      <c r="B1189" s="86"/>
      <c r="C1189" s="25"/>
      <c r="D1189" s="25"/>
      <c r="E1189" s="23"/>
      <c r="F1189" s="242"/>
    </row>
    <row r="1190" spans="1:11" x14ac:dyDescent="0.2">
      <c r="A1190" s="376"/>
      <c r="B1190" s="25" t="s">
        <v>26</v>
      </c>
      <c r="C1190" s="25"/>
      <c r="D1190" s="25"/>
      <c r="E1190" s="23"/>
      <c r="F1190" s="242"/>
    </row>
    <row r="1191" spans="1:11" x14ac:dyDescent="0.2">
      <c r="A1191" s="376"/>
      <c r="B1191" s="26" t="s">
        <v>528</v>
      </c>
      <c r="C1191" s="25"/>
      <c r="D1191" s="26">
        <f>2.67*1.6</f>
        <v>4.2720000000000002</v>
      </c>
      <c r="E1191" s="23"/>
      <c r="F1191" s="242"/>
    </row>
    <row r="1192" spans="1:11" x14ac:dyDescent="0.2">
      <c r="A1192" s="376"/>
      <c r="B1192" s="25"/>
      <c r="C1192" s="25"/>
      <c r="D1192" s="25"/>
      <c r="E1192" s="23"/>
      <c r="F1192" s="242"/>
    </row>
    <row r="1193" spans="1:11" s="82" customFormat="1" x14ac:dyDescent="0.2">
      <c r="A1193" s="376"/>
      <c r="B1193" s="25" t="s">
        <v>898</v>
      </c>
      <c r="C1193" s="25"/>
      <c r="D1193" s="25"/>
      <c r="E1193" s="23"/>
      <c r="F1193" s="242"/>
      <c r="G1193" s="8"/>
      <c r="H1193" s="8"/>
      <c r="I1193" s="8"/>
      <c r="J1193" s="8"/>
      <c r="K1193" s="8"/>
    </row>
    <row r="1194" spans="1:11" s="82" customFormat="1" x14ac:dyDescent="0.2">
      <c r="A1194" s="376"/>
      <c r="B1194" s="26" t="s">
        <v>528</v>
      </c>
      <c r="C1194" s="25"/>
      <c r="D1194" s="26">
        <f>2.67*1.6</f>
        <v>4.2720000000000002</v>
      </c>
      <c r="E1194" s="23"/>
      <c r="F1194" s="242"/>
      <c r="G1194" s="8"/>
      <c r="H1194" s="8"/>
      <c r="I1194" s="8"/>
      <c r="J1194" s="8"/>
      <c r="K1194" s="8"/>
    </row>
    <row r="1195" spans="1:11" x14ac:dyDescent="0.2">
      <c r="A1195" s="376"/>
      <c r="B1195" s="25"/>
      <c r="C1195" s="25"/>
      <c r="D1195" s="25"/>
      <c r="E1195" s="23"/>
      <c r="F1195" s="242"/>
    </row>
    <row r="1196" spans="1:11" x14ac:dyDescent="0.2">
      <c r="A1196" s="376"/>
      <c r="B1196" s="25" t="s">
        <v>899</v>
      </c>
      <c r="C1196" s="25"/>
      <c r="D1196" s="25"/>
      <c r="E1196" s="23"/>
      <c r="F1196" s="242"/>
    </row>
    <row r="1197" spans="1:11" x14ac:dyDescent="0.2">
      <c r="A1197" s="376"/>
      <c r="B1197" s="26" t="s">
        <v>529</v>
      </c>
      <c r="C1197" s="25"/>
      <c r="D1197" s="26">
        <f>2.67*1.6*3</f>
        <v>12.816000000000001</v>
      </c>
      <c r="E1197" s="23"/>
      <c r="F1197" s="242"/>
    </row>
    <row r="1198" spans="1:11" x14ac:dyDescent="0.2">
      <c r="A1198" s="376"/>
      <c r="B1198" s="26"/>
      <c r="C1198" s="25"/>
      <c r="D1198" s="25"/>
      <c r="E1198" s="23"/>
      <c r="F1198" s="242"/>
    </row>
    <row r="1199" spans="1:11" ht="13.5" thickBot="1" x14ac:dyDescent="0.25">
      <c r="A1199" s="388"/>
      <c r="B1199" s="71" t="s">
        <v>1489</v>
      </c>
      <c r="C1199" s="93" t="s">
        <v>37</v>
      </c>
      <c r="D1199" s="285">
        <f>SUM(D1188:D1197)</f>
        <v>21.36</v>
      </c>
      <c r="E1199" s="92"/>
      <c r="F1199" s="358">
        <f>E1199*D1199</f>
        <v>0</v>
      </c>
    </row>
    <row r="1200" spans="1:11" x14ac:dyDescent="0.2">
      <c r="A1200" s="376"/>
      <c r="B1200" s="25"/>
      <c r="C1200" s="16"/>
      <c r="D1200" s="26"/>
      <c r="E1200" s="12"/>
      <c r="F1200" s="215"/>
    </row>
    <row r="1201" spans="1:8" ht="89.25" x14ac:dyDescent="0.2">
      <c r="A1201" s="213" t="s">
        <v>12</v>
      </c>
      <c r="B1201" s="35" t="s">
        <v>502</v>
      </c>
      <c r="C1201" s="25"/>
      <c r="D1201" s="25"/>
      <c r="E1201" s="23"/>
      <c r="F1201" s="242"/>
      <c r="H1201" s="84"/>
    </row>
    <row r="1202" spans="1:8" ht="38.25" x14ac:dyDescent="0.2">
      <c r="A1202" s="213"/>
      <c r="B1202" s="35" t="s">
        <v>503</v>
      </c>
      <c r="C1202" s="25"/>
      <c r="D1202" s="25"/>
      <c r="E1202" s="23"/>
      <c r="F1202" s="242"/>
      <c r="H1202" s="84"/>
    </row>
    <row r="1203" spans="1:8" ht="25.5" x14ac:dyDescent="0.2">
      <c r="A1203" s="213"/>
      <c r="B1203" s="35" t="s">
        <v>504</v>
      </c>
      <c r="C1203" s="25"/>
      <c r="D1203" s="25"/>
      <c r="E1203" s="23"/>
      <c r="F1203" s="242"/>
    </row>
    <row r="1204" spans="1:8" ht="63.75" x14ac:dyDescent="0.2">
      <c r="A1204" s="213"/>
      <c r="B1204" s="44" t="s">
        <v>141</v>
      </c>
      <c r="C1204" s="25"/>
      <c r="D1204" s="25"/>
      <c r="E1204" s="23"/>
      <c r="F1204" s="242"/>
    </row>
    <row r="1205" spans="1:8" ht="89.25" x14ac:dyDescent="0.2">
      <c r="A1205" s="213"/>
      <c r="B1205" s="35" t="s">
        <v>505</v>
      </c>
      <c r="C1205" s="25"/>
      <c r="D1205" s="25"/>
      <c r="E1205" s="23"/>
      <c r="F1205" s="242"/>
    </row>
    <row r="1206" spans="1:8" x14ac:dyDescent="0.2">
      <c r="A1206" s="213"/>
      <c r="B1206" s="35"/>
      <c r="C1206" s="25"/>
      <c r="D1206" s="25"/>
      <c r="E1206" s="23"/>
      <c r="F1206" s="242"/>
    </row>
    <row r="1207" spans="1:8" ht="25.5" x14ac:dyDescent="0.2">
      <c r="A1207" s="216" t="s">
        <v>506</v>
      </c>
      <c r="B1207" s="157" t="s">
        <v>507</v>
      </c>
      <c r="C1207" s="25"/>
      <c r="D1207" s="25"/>
      <c r="E1207" s="23"/>
      <c r="F1207" s="242"/>
    </row>
    <row r="1208" spans="1:8" x14ac:dyDescent="0.2">
      <c r="A1208" s="216"/>
      <c r="B1208" s="88" t="s">
        <v>508</v>
      </c>
      <c r="C1208" s="25"/>
      <c r="D1208" s="25"/>
      <c r="E1208" s="23"/>
      <c r="F1208" s="242"/>
    </row>
    <row r="1209" spans="1:8" x14ac:dyDescent="0.2">
      <c r="A1209" s="216"/>
      <c r="B1209" s="88"/>
      <c r="C1209" s="25"/>
      <c r="D1209" s="25"/>
      <c r="E1209" s="23"/>
      <c r="F1209" s="242"/>
    </row>
    <row r="1210" spans="1:8" x14ac:dyDescent="0.2">
      <c r="A1210" s="216"/>
      <c r="B1210" s="25" t="s">
        <v>26</v>
      </c>
      <c r="C1210" s="25"/>
      <c r="D1210" s="25"/>
      <c r="E1210" s="23"/>
      <c r="F1210" s="242"/>
    </row>
    <row r="1211" spans="1:8" x14ac:dyDescent="0.2">
      <c r="A1211" s="216"/>
      <c r="B1211" s="26" t="s">
        <v>1387</v>
      </c>
      <c r="C1211" s="25"/>
      <c r="D1211" s="26">
        <f>51.31+12.63</f>
        <v>63.940000000000005</v>
      </c>
      <c r="E1211" s="23"/>
      <c r="F1211" s="242"/>
    </row>
    <row r="1212" spans="1:8" x14ac:dyDescent="0.2">
      <c r="A1212" s="216"/>
      <c r="B1212" s="25"/>
      <c r="C1212" s="25"/>
      <c r="D1212" s="25"/>
      <c r="E1212" s="23"/>
      <c r="F1212" s="242"/>
    </row>
    <row r="1213" spans="1:8" x14ac:dyDescent="0.2">
      <c r="A1213" s="216"/>
      <c r="B1213" s="25" t="s">
        <v>898</v>
      </c>
      <c r="C1213" s="25"/>
      <c r="D1213" s="25">
        <v>51.31</v>
      </c>
      <c r="E1213" s="23"/>
      <c r="F1213" s="242"/>
    </row>
    <row r="1214" spans="1:8" x14ac:dyDescent="0.2">
      <c r="A1214" s="216"/>
      <c r="B1214" s="25"/>
      <c r="C1214" s="25"/>
      <c r="D1214" s="25"/>
      <c r="E1214" s="23"/>
      <c r="F1214" s="242"/>
    </row>
    <row r="1215" spans="1:8" x14ac:dyDescent="0.2">
      <c r="A1215" s="216"/>
      <c r="B1215" s="25" t="s">
        <v>899</v>
      </c>
      <c r="C1215" s="25"/>
      <c r="D1215" s="25"/>
      <c r="E1215" s="23"/>
      <c r="F1215" s="242"/>
    </row>
    <row r="1216" spans="1:8" x14ac:dyDescent="0.2">
      <c r="A1216" s="216"/>
      <c r="B1216" s="26" t="s">
        <v>1388</v>
      </c>
      <c r="C1216" s="25"/>
      <c r="D1216" s="26">
        <f>51.31*2</f>
        <v>102.62</v>
      </c>
      <c r="E1216" s="23"/>
      <c r="F1216" s="242"/>
    </row>
    <row r="1217" spans="1:6" x14ac:dyDescent="0.2">
      <c r="A1217" s="216"/>
      <c r="B1217" s="26"/>
      <c r="C1217" s="25"/>
      <c r="D1217" s="26"/>
      <c r="E1217" s="23"/>
      <c r="F1217" s="242"/>
    </row>
    <row r="1218" spans="1:6" x14ac:dyDescent="0.2">
      <c r="A1218" s="216"/>
      <c r="B1218" s="26" t="s">
        <v>909</v>
      </c>
      <c r="C1218" s="25"/>
      <c r="D1218" s="26">
        <v>51.31</v>
      </c>
      <c r="E1218" s="23"/>
      <c r="F1218" s="242"/>
    </row>
    <row r="1219" spans="1:6" x14ac:dyDescent="0.2">
      <c r="A1219" s="216"/>
      <c r="B1219" s="26"/>
      <c r="C1219" s="25"/>
      <c r="D1219" s="25"/>
      <c r="E1219" s="23"/>
      <c r="F1219" s="242"/>
    </row>
    <row r="1220" spans="1:6" x14ac:dyDescent="0.2">
      <c r="A1220" s="213"/>
      <c r="B1220" s="25" t="s">
        <v>1490</v>
      </c>
      <c r="C1220" s="16" t="s">
        <v>37</v>
      </c>
      <c r="D1220" s="26">
        <f>SUM(D1210:D1219)</f>
        <v>269.18</v>
      </c>
      <c r="E1220" s="12"/>
      <c r="F1220" s="215">
        <f>E1220*D1220</f>
        <v>0</v>
      </c>
    </row>
    <row r="1221" spans="1:6" x14ac:dyDescent="0.2">
      <c r="A1221" s="213"/>
      <c r="B1221" s="90"/>
      <c r="C1221" s="16"/>
      <c r="D1221" s="26"/>
      <c r="E1221" s="23"/>
      <c r="F1221" s="215"/>
    </row>
    <row r="1222" spans="1:6" ht="25.5" x14ac:dyDescent="0.2">
      <c r="A1222" s="216" t="s">
        <v>509</v>
      </c>
      <c r="B1222" s="157" t="s">
        <v>510</v>
      </c>
      <c r="C1222" s="25"/>
      <c r="D1222" s="25"/>
      <c r="E1222" s="23"/>
      <c r="F1222" s="242"/>
    </row>
    <row r="1223" spans="1:6" x14ac:dyDescent="0.2">
      <c r="A1223" s="216"/>
      <c r="B1223" s="88" t="s">
        <v>511</v>
      </c>
      <c r="C1223" s="25"/>
      <c r="D1223" s="25"/>
      <c r="E1223" s="23"/>
      <c r="F1223" s="242"/>
    </row>
    <row r="1224" spans="1:6" x14ac:dyDescent="0.2">
      <c r="A1224" s="216"/>
      <c r="B1224" s="83" t="s">
        <v>1392</v>
      </c>
      <c r="C1224" s="16" t="s">
        <v>37</v>
      </c>
      <c r="D1224" s="83">
        <f>3.13+4.34</f>
        <v>7.47</v>
      </c>
      <c r="E1224" s="12"/>
      <c r="F1224" s="215">
        <f>E1224*D1224</f>
        <v>0</v>
      </c>
    </row>
    <row r="1225" spans="1:6" x14ac:dyDescent="0.2">
      <c r="A1225" s="213"/>
      <c r="B1225" s="90"/>
      <c r="C1225" s="16"/>
      <c r="D1225" s="90"/>
      <c r="E1225" s="23"/>
      <c r="F1225" s="215"/>
    </row>
    <row r="1226" spans="1:6" ht="39" thickBot="1" x14ac:dyDescent="0.25">
      <c r="A1226" s="390" t="s">
        <v>512</v>
      </c>
      <c r="B1226" s="284" t="s">
        <v>1515</v>
      </c>
      <c r="C1226" s="71"/>
      <c r="D1226" s="71"/>
      <c r="E1226" s="300"/>
      <c r="F1226" s="380"/>
    </row>
    <row r="1227" spans="1:6" x14ac:dyDescent="0.2">
      <c r="A1227" s="216"/>
      <c r="B1227" s="88"/>
      <c r="C1227" s="25"/>
      <c r="D1227" s="25"/>
      <c r="E1227" s="23"/>
      <c r="F1227" s="242"/>
    </row>
    <row r="1228" spans="1:6" x14ac:dyDescent="0.2">
      <c r="A1228" s="216"/>
      <c r="B1228" s="88" t="s">
        <v>26</v>
      </c>
      <c r="C1228" s="25"/>
      <c r="D1228" s="25"/>
      <c r="E1228" s="23"/>
      <c r="F1228" s="242"/>
    </row>
    <row r="1229" spans="1:6" ht="25.5" x14ac:dyDescent="0.2">
      <c r="A1229" s="216"/>
      <c r="B1229" s="83" t="s">
        <v>1393</v>
      </c>
      <c r="C1229" s="25"/>
      <c r="D1229" s="83">
        <f>4.12+4.17+4.12+4*2+5.06+1.56+5.78+2.04</f>
        <v>34.849999999999994</v>
      </c>
      <c r="E1229" s="23"/>
      <c r="F1229" s="242"/>
    </row>
    <row r="1230" spans="1:6" x14ac:dyDescent="0.2">
      <c r="A1230" s="216"/>
      <c r="B1230" s="88"/>
      <c r="C1230" s="25"/>
      <c r="D1230" s="25"/>
      <c r="E1230" s="23"/>
      <c r="F1230" s="242"/>
    </row>
    <row r="1231" spans="1:6" x14ac:dyDescent="0.2">
      <c r="A1231" s="216"/>
      <c r="B1231" s="25" t="s">
        <v>898</v>
      </c>
      <c r="C1231" s="25"/>
      <c r="D1231" s="25"/>
      <c r="E1231" s="23"/>
      <c r="F1231" s="242"/>
    </row>
    <row r="1232" spans="1:6" ht="25.5" x14ac:dyDescent="0.2">
      <c r="A1232" s="216"/>
      <c r="B1232" s="26" t="s">
        <v>1394</v>
      </c>
      <c r="C1232" s="25"/>
      <c r="D1232" s="64">
        <f>4*2+5.06+1.56+2.04+4.26+4.12+4.36+1.46+4.12</f>
        <v>34.980000000000004</v>
      </c>
      <c r="E1232" s="23"/>
      <c r="F1232" s="242"/>
    </row>
    <row r="1233" spans="1:6" x14ac:dyDescent="0.2">
      <c r="A1233" s="216"/>
      <c r="B1233" s="25"/>
      <c r="C1233" s="25"/>
      <c r="D1233" s="25"/>
      <c r="E1233" s="23"/>
      <c r="F1233" s="242"/>
    </row>
    <row r="1234" spans="1:6" x14ac:dyDescent="0.2">
      <c r="A1234" s="216"/>
      <c r="B1234" s="25" t="s">
        <v>899</v>
      </c>
      <c r="C1234" s="25"/>
      <c r="D1234" s="25"/>
      <c r="E1234" s="23"/>
      <c r="F1234" s="242"/>
    </row>
    <row r="1235" spans="1:6" ht="25.5" x14ac:dyDescent="0.2">
      <c r="A1235" s="213"/>
      <c r="B1235" s="26" t="s">
        <v>1029</v>
      </c>
      <c r="C1235" s="25"/>
      <c r="D1235" s="64">
        <f>(4.12*2+4.36+1.46+4.15+5.11+2.04+5.05+1.49+4*2)*2</f>
        <v>79.8</v>
      </c>
      <c r="E1235" s="23"/>
      <c r="F1235" s="242"/>
    </row>
    <row r="1236" spans="1:6" x14ac:dyDescent="0.2">
      <c r="A1236" s="213"/>
      <c r="B1236" s="26"/>
      <c r="C1236" s="25"/>
      <c r="D1236" s="25"/>
      <c r="E1236" s="23"/>
      <c r="F1236" s="215">
        <f>E1236*D1236</f>
        <v>0</v>
      </c>
    </row>
    <row r="1237" spans="1:6" x14ac:dyDescent="0.2">
      <c r="A1237" s="213"/>
      <c r="B1237" s="26" t="s">
        <v>909</v>
      </c>
      <c r="C1237" s="25"/>
      <c r="D1237" s="25"/>
      <c r="E1237" s="23"/>
      <c r="F1237" s="215"/>
    </row>
    <row r="1238" spans="1:6" ht="25.5" x14ac:dyDescent="0.2">
      <c r="A1238" s="213"/>
      <c r="B1238" s="26" t="s">
        <v>1394</v>
      </c>
      <c r="C1238" s="25"/>
      <c r="D1238" s="64">
        <f>4*2+5.06+1.56+2.04+4.26+4.12+4.36+1.46+4.12</f>
        <v>34.980000000000004</v>
      </c>
      <c r="E1238" s="23"/>
      <c r="F1238" s="215"/>
    </row>
    <row r="1239" spans="1:6" x14ac:dyDescent="0.2">
      <c r="A1239" s="213"/>
      <c r="B1239" s="26"/>
      <c r="C1239" s="25"/>
      <c r="D1239" s="25"/>
      <c r="E1239" s="23"/>
      <c r="F1239" s="215"/>
    </row>
    <row r="1240" spans="1:6" x14ac:dyDescent="0.2">
      <c r="A1240" s="213"/>
      <c r="B1240" s="25" t="s">
        <v>1491</v>
      </c>
      <c r="C1240" s="16" t="s">
        <v>37</v>
      </c>
      <c r="D1240" s="26">
        <f>SUM(D1229:D1239)</f>
        <v>184.61</v>
      </c>
      <c r="E1240" s="12"/>
      <c r="F1240" s="215">
        <f>E1240*D1240</f>
        <v>0</v>
      </c>
    </row>
    <row r="1241" spans="1:6" x14ac:dyDescent="0.2">
      <c r="A1241" s="213"/>
      <c r="B1241" s="82"/>
      <c r="C1241" s="16"/>
      <c r="D1241" s="26"/>
      <c r="E1241" s="23"/>
      <c r="F1241" s="242"/>
    </row>
    <row r="1242" spans="1:6" ht="25.5" x14ac:dyDescent="0.2">
      <c r="A1242" s="213" t="s">
        <v>1039</v>
      </c>
      <c r="B1242" s="97" t="s">
        <v>1030</v>
      </c>
      <c r="C1242" s="25"/>
      <c r="D1242" s="29"/>
      <c r="E1242" s="23"/>
      <c r="F1242" s="242"/>
    </row>
    <row r="1243" spans="1:6" ht="76.5" x14ac:dyDescent="0.2">
      <c r="A1243" s="213"/>
      <c r="B1243" s="97" t="s">
        <v>1031</v>
      </c>
      <c r="C1243" s="25"/>
      <c r="D1243" s="29"/>
      <c r="E1243" s="23"/>
      <c r="F1243" s="242"/>
    </row>
    <row r="1244" spans="1:6" ht="38.25" x14ac:dyDescent="0.2">
      <c r="A1244" s="213"/>
      <c r="B1244" s="97" t="s">
        <v>1032</v>
      </c>
      <c r="C1244" s="25"/>
      <c r="D1244" s="29"/>
      <c r="E1244" s="23"/>
      <c r="F1244" s="242"/>
    </row>
    <row r="1245" spans="1:6" ht="76.5" x14ac:dyDescent="0.2">
      <c r="A1245" s="213"/>
      <c r="B1245" s="97" t="s">
        <v>1033</v>
      </c>
      <c r="C1245" s="25"/>
      <c r="D1245" s="29"/>
      <c r="E1245" s="23"/>
      <c r="F1245" s="242"/>
    </row>
    <row r="1246" spans="1:6" ht="63.75" x14ac:dyDescent="0.2">
      <c r="A1246" s="213"/>
      <c r="B1246" s="97" t="s">
        <v>1034</v>
      </c>
      <c r="C1246" s="25"/>
      <c r="D1246" s="29"/>
      <c r="E1246" s="23"/>
      <c r="F1246" s="242"/>
    </row>
    <row r="1247" spans="1:6" ht="51" x14ac:dyDescent="0.2">
      <c r="A1247" s="213"/>
      <c r="B1247" s="97" t="s">
        <v>1035</v>
      </c>
      <c r="C1247" s="25"/>
      <c r="D1247" s="29"/>
      <c r="E1247" s="23"/>
      <c r="F1247" s="242"/>
    </row>
    <row r="1248" spans="1:6" ht="25.5" x14ac:dyDescent="0.2">
      <c r="A1248" s="213"/>
      <c r="B1248" s="97" t="s">
        <v>1036</v>
      </c>
      <c r="C1248" s="25"/>
      <c r="D1248" s="29"/>
      <c r="E1248" s="23"/>
      <c r="F1248" s="242"/>
    </row>
    <row r="1249" spans="1:6" ht="26.25" thickBot="1" x14ac:dyDescent="0.25">
      <c r="A1249" s="306"/>
      <c r="B1249" s="326" t="s">
        <v>1037</v>
      </c>
      <c r="C1249" s="327"/>
      <c r="D1249" s="328"/>
      <c r="E1249" s="319"/>
      <c r="F1249" s="345"/>
    </row>
    <row r="1250" spans="1:6" x14ac:dyDescent="0.2">
      <c r="A1250" s="213"/>
      <c r="B1250" s="140"/>
      <c r="C1250" s="25"/>
      <c r="D1250" s="29"/>
      <c r="E1250" s="23"/>
      <c r="F1250" s="242"/>
    </row>
    <row r="1251" spans="1:6" ht="25.5" x14ac:dyDescent="0.2">
      <c r="A1251" s="216" t="s">
        <v>1492</v>
      </c>
      <c r="B1251" s="10" t="s">
        <v>950</v>
      </c>
      <c r="C1251" s="25"/>
      <c r="D1251" s="29"/>
      <c r="E1251" s="23"/>
      <c r="F1251" s="242"/>
    </row>
    <row r="1252" spans="1:6" ht="89.25" x14ac:dyDescent="0.2">
      <c r="A1252" s="213"/>
      <c r="B1252" s="26" t="s">
        <v>1374</v>
      </c>
      <c r="C1252" s="16" t="s">
        <v>37</v>
      </c>
      <c r="D1252" s="64">
        <f>2.1*(3.95*2+6.09+1+3.72+2.95+0.6+2.56+0.375*22.62+2.8+3.15+2.8+2.72+1.7+3.92+1.63)+2.5*(8.17+5.37+2.657*2)+(2.5+1.99)/2*1.4*2+2.7*(2.95+2.7+2.95+2.9+3.3+3.1+6.5*2*2)-(2.7*2.4*6+1*1.6*10+1.8*1*6+1.8*1.6*3+1*1*8+1.8*1*6+1*0.6*2)</f>
        <v>186.87825000000004</v>
      </c>
      <c r="E1252" s="12"/>
      <c r="F1252" s="215">
        <f>E1252*D1252</f>
        <v>0</v>
      </c>
    </row>
    <row r="1253" spans="1:6" x14ac:dyDescent="0.2">
      <c r="A1253" s="213"/>
      <c r="B1253" s="140"/>
      <c r="C1253" s="25"/>
      <c r="D1253" s="29"/>
      <c r="E1253" s="23"/>
      <c r="F1253" s="242"/>
    </row>
    <row r="1254" spans="1:6" x14ac:dyDescent="0.2">
      <c r="A1254" s="216" t="s">
        <v>1493</v>
      </c>
      <c r="B1254" s="97" t="s">
        <v>1038</v>
      </c>
      <c r="C1254" s="16" t="s">
        <v>37</v>
      </c>
      <c r="D1254" s="64">
        <v>47.44</v>
      </c>
      <c r="E1254" s="12"/>
      <c r="F1254" s="215">
        <f>E1254*D1254</f>
        <v>0</v>
      </c>
    </row>
    <row r="1255" spans="1:6" x14ac:dyDescent="0.2">
      <c r="A1255" s="213"/>
      <c r="B1255" s="140"/>
      <c r="C1255" s="25"/>
      <c r="D1255" s="29"/>
      <c r="E1255" s="23"/>
      <c r="F1255" s="242"/>
    </row>
    <row r="1256" spans="1:6" ht="25.5" x14ac:dyDescent="0.2">
      <c r="A1256" s="213" t="s">
        <v>116</v>
      </c>
      <c r="B1256" s="70" t="s">
        <v>513</v>
      </c>
      <c r="C1256" s="25"/>
      <c r="D1256" s="29"/>
      <c r="E1256" s="23"/>
      <c r="F1256" s="242"/>
    </row>
    <row r="1257" spans="1:6" ht="89.25" x14ac:dyDescent="0.2">
      <c r="A1257" s="213"/>
      <c r="B1257" s="35" t="s">
        <v>514</v>
      </c>
      <c r="C1257" s="25"/>
      <c r="D1257" s="29"/>
      <c r="E1257" s="23"/>
      <c r="F1257" s="242"/>
    </row>
    <row r="1258" spans="1:6" ht="51" x14ac:dyDescent="0.2">
      <c r="A1258" s="213"/>
      <c r="B1258" s="35" t="s">
        <v>515</v>
      </c>
      <c r="C1258" s="25"/>
      <c r="D1258" s="29"/>
      <c r="E1258" s="23"/>
      <c r="F1258" s="242"/>
    </row>
    <row r="1259" spans="1:6" ht="25.5" x14ac:dyDescent="0.2">
      <c r="A1259" s="213"/>
      <c r="B1259" s="35" t="s">
        <v>504</v>
      </c>
      <c r="C1259" s="25"/>
      <c r="D1259" s="29"/>
      <c r="E1259" s="23"/>
      <c r="F1259" s="242"/>
    </row>
    <row r="1260" spans="1:6" ht="89.25" x14ac:dyDescent="0.2">
      <c r="A1260" s="213"/>
      <c r="B1260" s="35" t="s">
        <v>505</v>
      </c>
      <c r="C1260" s="25"/>
      <c r="D1260" s="29"/>
      <c r="E1260" s="23"/>
      <c r="F1260" s="242"/>
    </row>
    <row r="1261" spans="1:6" x14ac:dyDescent="0.2">
      <c r="A1261" s="213"/>
      <c r="B1261" s="140"/>
      <c r="C1261" s="25"/>
      <c r="D1261" s="29"/>
      <c r="E1261" s="23"/>
      <c r="F1261" s="242"/>
    </row>
    <row r="1262" spans="1:6" x14ac:dyDescent="0.2">
      <c r="A1262" s="213"/>
      <c r="B1262" s="19" t="s">
        <v>469</v>
      </c>
      <c r="C1262" s="66" t="s">
        <v>37</v>
      </c>
      <c r="D1262" s="26">
        <f>3.12*5.77+3.08*0.85</f>
        <v>20.620399999999997</v>
      </c>
      <c r="E1262" s="12"/>
      <c r="F1262" s="215">
        <f>E1262*D1262</f>
        <v>0</v>
      </c>
    </row>
    <row r="1263" spans="1:6" x14ac:dyDescent="0.2">
      <c r="A1263" s="213"/>
      <c r="B1263" s="140"/>
      <c r="C1263" s="25"/>
      <c r="D1263" s="29"/>
      <c r="E1263" s="23"/>
      <c r="F1263" s="242"/>
    </row>
    <row r="1264" spans="1:6" ht="90" thickBot="1" x14ac:dyDescent="0.25">
      <c r="A1264" s="382" t="s">
        <v>1494</v>
      </c>
      <c r="B1264" s="329" t="s">
        <v>674</v>
      </c>
      <c r="C1264" s="91"/>
      <c r="D1264" s="292"/>
      <c r="E1264" s="330"/>
      <c r="F1264" s="383"/>
    </row>
    <row r="1265" spans="1:11" x14ac:dyDescent="0.2">
      <c r="A1265" s="213"/>
      <c r="B1265" s="278"/>
      <c r="C1265" s="27"/>
      <c r="D1265" s="64"/>
      <c r="E1265" s="252"/>
      <c r="F1265" s="214"/>
    </row>
    <row r="1266" spans="1:11" ht="89.25" x14ac:dyDescent="0.2">
      <c r="A1266" s="213"/>
      <c r="B1266" s="278" t="s">
        <v>1386</v>
      </c>
      <c r="C1266" s="27"/>
      <c r="D1266" s="64"/>
      <c r="E1266" s="252"/>
      <c r="F1266" s="214"/>
    </row>
    <row r="1267" spans="1:11" x14ac:dyDescent="0.2">
      <c r="A1267" s="213"/>
      <c r="B1267" s="15" t="s">
        <v>96</v>
      </c>
      <c r="C1267" s="27" t="s">
        <v>31</v>
      </c>
      <c r="D1267" s="117">
        <f>2*5</f>
        <v>10</v>
      </c>
      <c r="E1267" s="418"/>
      <c r="F1267" s="214">
        <f>E1267*D1267</f>
        <v>0</v>
      </c>
    </row>
    <row r="1268" spans="1:11" ht="13.5" thickBot="1" x14ac:dyDescent="0.25">
      <c r="A1268" s="419"/>
      <c r="B1268" s="65"/>
      <c r="C1268" s="41"/>
      <c r="D1268" s="105"/>
      <c r="E1268" s="23"/>
      <c r="F1268" s="392"/>
    </row>
    <row r="1269" spans="1:11" ht="15.75" thickBot="1" x14ac:dyDescent="0.25">
      <c r="A1269" s="416" t="str">
        <f>A1165</f>
        <v>7.</v>
      </c>
      <c r="B1269" s="132" t="s">
        <v>103</v>
      </c>
      <c r="C1269" s="133"/>
      <c r="D1269" s="132"/>
      <c r="E1269" s="141"/>
      <c r="F1269" s="417">
        <f>SUM(F1166:F1268)</f>
        <v>0</v>
      </c>
      <c r="G1269" s="4"/>
      <c r="H1269" s="3"/>
      <c r="I1269" s="3"/>
      <c r="J1269" s="3"/>
      <c r="K1269" s="2"/>
    </row>
    <row r="1270" spans="1:11" ht="15.75" thickBot="1" x14ac:dyDescent="0.25">
      <c r="A1270" s="239" t="s">
        <v>13</v>
      </c>
      <c r="B1270" s="52" t="s">
        <v>17</v>
      </c>
      <c r="C1270" s="53"/>
      <c r="D1270" s="236"/>
      <c r="E1270" s="139"/>
      <c r="F1270" s="237"/>
      <c r="G1270" s="4"/>
      <c r="H1270" s="3"/>
      <c r="I1270" s="3"/>
      <c r="J1270" s="3"/>
      <c r="K1270" s="2"/>
    </row>
    <row r="1271" spans="1:11" ht="15" x14ac:dyDescent="0.2">
      <c r="A1271" s="231"/>
      <c r="B1271" s="279" t="s">
        <v>60</v>
      </c>
      <c r="C1271" s="22"/>
      <c r="D1271" s="38"/>
      <c r="E1271" s="23"/>
      <c r="F1271" s="219"/>
    </row>
    <row r="1272" spans="1:11" ht="51" x14ac:dyDescent="0.2">
      <c r="A1272" s="213"/>
      <c r="B1272" s="280" t="s">
        <v>227</v>
      </c>
      <c r="C1272" s="25"/>
      <c r="D1272" s="69"/>
      <c r="E1272" s="23"/>
      <c r="F1272" s="242"/>
    </row>
    <row r="1273" spans="1:11" ht="38.25" x14ac:dyDescent="0.2">
      <c r="A1273" s="213"/>
      <c r="B1273" s="157" t="s">
        <v>228</v>
      </c>
      <c r="C1273" s="25"/>
      <c r="D1273" s="69"/>
      <c r="E1273" s="23"/>
      <c r="F1273" s="242"/>
    </row>
    <row r="1274" spans="1:11" ht="38.25" x14ac:dyDescent="0.2">
      <c r="A1274" s="213"/>
      <c r="B1274" s="157" t="s">
        <v>712</v>
      </c>
      <c r="C1274" s="25"/>
      <c r="D1274" s="69"/>
      <c r="E1274" s="23"/>
      <c r="F1274" s="242"/>
    </row>
    <row r="1275" spans="1:11" ht="38.25" x14ac:dyDescent="0.2">
      <c r="A1275" s="213"/>
      <c r="B1275" s="157" t="s">
        <v>229</v>
      </c>
      <c r="C1275" s="25"/>
      <c r="D1275" s="69"/>
      <c r="E1275" s="23"/>
      <c r="F1275" s="242"/>
    </row>
    <row r="1276" spans="1:11" ht="63.75" x14ac:dyDescent="0.2">
      <c r="A1276" s="213"/>
      <c r="B1276" s="157" t="s">
        <v>230</v>
      </c>
      <c r="C1276" s="25"/>
      <c r="D1276" s="69"/>
      <c r="E1276" s="23"/>
      <c r="F1276" s="242"/>
    </row>
    <row r="1277" spans="1:11" ht="25.5" x14ac:dyDescent="0.2">
      <c r="A1277" s="213"/>
      <c r="B1277" s="157" t="s">
        <v>231</v>
      </c>
      <c r="C1277" s="25"/>
      <c r="D1277" s="69"/>
      <c r="E1277" s="23"/>
      <c r="F1277" s="242"/>
    </row>
    <row r="1278" spans="1:11" ht="25.5" x14ac:dyDescent="0.2">
      <c r="A1278" s="213"/>
      <c r="B1278" s="157" t="s">
        <v>232</v>
      </c>
      <c r="C1278" s="25"/>
      <c r="D1278" s="69"/>
      <c r="E1278" s="23"/>
      <c r="F1278" s="242"/>
    </row>
    <row r="1279" spans="1:11" ht="38.25" x14ac:dyDescent="0.2">
      <c r="A1279" s="213"/>
      <c r="B1279" s="157" t="s">
        <v>516</v>
      </c>
      <c r="C1279" s="25"/>
      <c r="D1279" s="69"/>
      <c r="E1279" s="23"/>
      <c r="F1279" s="242"/>
    </row>
    <row r="1280" spans="1:11" x14ac:dyDescent="0.2">
      <c r="A1280" s="231"/>
      <c r="B1280" s="72"/>
      <c r="C1280" s="22"/>
      <c r="D1280" s="38"/>
      <c r="E1280" s="23"/>
      <c r="F1280" s="219"/>
    </row>
    <row r="1281" spans="1:6" ht="15" x14ac:dyDescent="0.2">
      <c r="A1281" s="224" t="s">
        <v>14</v>
      </c>
      <c r="B1281" s="155" t="s">
        <v>689</v>
      </c>
      <c r="C1281" s="22"/>
      <c r="D1281" s="38"/>
      <c r="E1281" s="23"/>
      <c r="F1281" s="219"/>
    </row>
    <row r="1282" spans="1:6" ht="15" x14ac:dyDescent="0.2">
      <c r="A1282" s="225"/>
      <c r="B1282" s="155"/>
      <c r="C1282" s="22"/>
      <c r="D1282" s="38"/>
      <c r="E1282" s="23"/>
      <c r="F1282" s="219"/>
    </row>
    <row r="1283" spans="1:6" ht="38.25" x14ac:dyDescent="0.2">
      <c r="A1283" s="226"/>
      <c r="B1283" s="36" t="s">
        <v>685</v>
      </c>
      <c r="C1283" s="22"/>
      <c r="D1283" s="38"/>
      <c r="E1283" s="23"/>
      <c r="F1283" s="219"/>
    </row>
    <row r="1284" spans="1:6" ht="63.75" x14ac:dyDescent="0.2">
      <c r="A1284" s="226"/>
      <c r="B1284" s="28" t="s">
        <v>1096</v>
      </c>
      <c r="C1284" s="22"/>
      <c r="D1284" s="38"/>
      <c r="E1284" s="23"/>
      <c r="F1284" s="219"/>
    </row>
    <row r="1285" spans="1:6" ht="38.25" x14ac:dyDescent="0.2">
      <c r="A1285" s="226"/>
      <c r="B1285" s="28" t="s">
        <v>1097</v>
      </c>
      <c r="C1285" s="22"/>
      <c r="D1285" s="38"/>
      <c r="E1285" s="23"/>
      <c r="F1285" s="219"/>
    </row>
    <row r="1286" spans="1:6" ht="38.25" x14ac:dyDescent="0.2">
      <c r="A1286" s="226"/>
      <c r="B1286" s="28" t="s">
        <v>1098</v>
      </c>
      <c r="C1286" s="22"/>
      <c r="D1286" s="38"/>
      <c r="E1286" s="23"/>
      <c r="F1286" s="219"/>
    </row>
    <row r="1287" spans="1:6" ht="64.5" thickBot="1" x14ac:dyDescent="0.25">
      <c r="A1287" s="331"/>
      <c r="B1287" s="332" t="s">
        <v>1099</v>
      </c>
      <c r="C1287" s="333"/>
      <c r="D1287" s="334"/>
      <c r="E1287" s="319"/>
      <c r="F1287" s="311"/>
    </row>
    <row r="1288" spans="1:6" x14ac:dyDescent="0.2">
      <c r="A1288" s="226"/>
      <c r="B1288" s="28"/>
      <c r="C1288" s="22"/>
      <c r="D1288" s="38"/>
      <c r="E1288" s="23"/>
      <c r="F1288" s="219"/>
    </row>
    <row r="1289" spans="1:6" ht="51" x14ac:dyDescent="0.2">
      <c r="A1289" s="226"/>
      <c r="B1289" s="28" t="s">
        <v>1100</v>
      </c>
      <c r="C1289" s="22"/>
      <c r="D1289" s="38"/>
      <c r="E1289" s="23"/>
      <c r="F1289" s="219"/>
    </row>
    <row r="1290" spans="1:6" ht="51" x14ac:dyDescent="0.2">
      <c r="A1290" s="226"/>
      <c r="B1290" s="28" t="s">
        <v>686</v>
      </c>
      <c r="C1290" s="22"/>
      <c r="D1290" s="38"/>
      <c r="E1290" s="23"/>
      <c r="F1290" s="219"/>
    </row>
    <row r="1291" spans="1:6" ht="51" x14ac:dyDescent="0.2">
      <c r="A1291" s="226"/>
      <c r="B1291" s="28" t="s">
        <v>687</v>
      </c>
      <c r="C1291" s="22"/>
      <c r="D1291" s="38"/>
      <c r="E1291" s="23"/>
      <c r="F1291" s="219"/>
    </row>
    <row r="1292" spans="1:6" ht="25.5" x14ac:dyDescent="0.2">
      <c r="A1292" s="226"/>
      <c r="B1292" s="28" t="s">
        <v>226</v>
      </c>
      <c r="C1292" s="22"/>
      <c r="D1292" s="38"/>
      <c r="E1292" s="23"/>
      <c r="F1292" s="219"/>
    </row>
    <row r="1293" spans="1:6" ht="25.5" x14ac:dyDescent="0.2">
      <c r="A1293" s="226"/>
      <c r="B1293" s="28" t="s">
        <v>119</v>
      </c>
      <c r="C1293" s="22"/>
      <c r="D1293" s="38"/>
      <c r="E1293" s="23"/>
      <c r="F1293" s="219"/>
    </row>
    <row r="1294" spans="1:6" x14ac:dyDescent="0.2">
      <c r="A1294" s="226"/>
      <c r="B1294" s="28"/>
      <c r="C1294" s="22"/>
      <c r="D1294" s="38"/>
      <c r="E1294" s="23"/>
      <c r="F1294" s="219"/>
    </row>
    <row r="1295" spans="1:6" x14ac:dyDescent="0.2">
      <c r="A1295" s="226"/>
      <c r="B1295" s="12" t="s">
        <v>1101</v>
      </c>
      <c r="C1295" s="16"/>
      <c r="D1295" s="18"/>
      <c r="E1295" s="23"/>
      <c r="F1295" s="214"/>
    </row>
    <row r="1296" spans="1:6" ht="25.5" x14ac:dyDescent="0.2">
      <c r="A1296" s="226"/>
      <c r="B1296" s="28" t="s">
        <v>688</v>
      </c>
      <c r="C1296" s="16"/>
      <c r="D1296" s="18"/>
      <c r="E1296" s="23"/>
      <c r="F1296" s="214"/>
    </row>
    <row r="1297" spans="1:11" x14ac:dyDescent="0.2">
      <c r="A1297" s="226"/>
      <c r="B1297" s="12" t="s">
        <v>66</v>
      </c>
      <c r="C1297" s="16" t="s">
        <v>31</v>
      </c>
      <c r="D1297" s="45">
        <v>39</v>
      </c>
      <c r="E1297" s="12"/>
      <c r="F1297" s="214">
        <f>D1297*E1297</f>
        <v>0</v>
      </c>
    </row>
    <row r="1298" spans="1:11" x14ac:dyDescent="0.2">
      <c r="A1298" s="226"/>
      <c r="B1298" s="72"/>
      <c r="C1298" s="22"/>
      <c r="D1298" s="38"/>
      <c r="E1298" s="23"/>
      <c r="F1298" s="219"/>
    </row>
    <row r="1299" spans="1:11" ht="15" x14ac:dyDescent="0.2">
      <c r="A1299" s="224" t="s">
        <v>64</v>
      </c>
      <c r="B1299" s="155" t="s">
        <v>1102</v>
      </c>
      <c r="C1299" s="142"/>
      <c r="D1299" s="227"/>
      <c r="E1299" s="143"/>
      <c r="F1299" s="228"/>
      <c r="G1299" s="144"/>
      <c r="H1299" s="144"/>
      <c r="I1299" s="144"/>
      <c r="J1299" s="144"/>
      <c r="K1299" s="144"/>
    </row>
    <row r="1300" spans="1:11" ht="15" x14ac:dyDescent="0.2">
      <c r="A1300" s="225"/>
      <c r="B1300" s="155"/>
      <c r="C1300" s="142"/>
      <c r="D1300" s="227"/>
      <c r="E1300" s="143"/>
      <c r="F1300" s="228"/>
      <c r="G1300" s="144"/>
      <c r="H1300" s="144"/>
      <c r="I1300" s="144"/>
      <c r="J1300" s="144"/>
      <c r="K1300" s="144"/>
    </row>
    <row r="1301" spans="1:11" ht="25.5" x14ac:dyDescent="0.2">
      <c r="A1301" s="229"/>
      <c r="B1301" s="36" t="s">
        <v>517</v>
      </c>
      <c r="C1301" s="22"/>
      <c r="D1301" s="38"/>
      <c r="E1301" s="23"/>
      <c r="F1301" s="219"/>
    </row>
    <row r="1302" spans="1:11" ht="51" x14ac:dyDescent="0.2">
      <c r="A1302" s="213"/>
      <c r="B1302" s="28" t="s">
        <v>1103</v>
      </c>
      <c r="C1302" s="22"/>
      <c r="D1302" s="38"/>
      <c r="E1302" s="23"/>
      <c r="F1302" s="219"/>
      <c r="G1302" s="194"/>
    </row>
    <row r="1303" spans="1:11" ht="38.25" x14ac:dyDescent="0.2">
      <c r="A1303" s="213"/>
      <c r="B1303" s="28" t="s">
        <v>1104</v>
      </c>
      <c r="C1303" s="22"/>
      <c r="D1303" s="38"/>
      <c r="E1303" s="23"/>
      <c r="F1303" s="219"/>
      <c r="G1303" s="194"/>
    </row>
    <row r="1304" spans="1:11" ht="63.75" x14ac:dyDescent="0.2">
      <c r="A1304" s="213"/>
      <c r="B1304" s="28" t="s">
        <v>1105</v>
      </c>
      <c r="C1304" s="27"/>
      <c r="D1304" s="230"/>
      <c r="E1304" s="23"/>
      <c r="F1304" s="214"/>
    </row>
    <row r="1305" spans="1:11" ht="76.5" x14ac:dyDescent="0.2">
      <c r="A1305" s="213"/>
      <c r="B1305" s="28" t="s">
        <v>1106</v>
      </c>
      <c r="C1305" s="27"/>
      <c r="D1305" s="230"/>
      <c r="E1305" s="23"/>
      <c r="F1305" s="214"/>
    </row>
    <row r="1306" spans="1:11" ht="51" x14ac:dyDescent="0.2">
      <c r="A1306" s="213"/>
      <c r="B1306" s="28" t="s">
        <v>686</v>
      </c>
      <c r="C1306" s="27"/>
      <c r="D1306" s="230"/>
      <c r="E1306" s="23"/>
      <c r="F1306" s="214"/>
    </row>
    <row r="1307" spans="1:11" ht="51.75" thickBot="1" x14ac:dyDescent="0.25">
      <c r="A1307" s="306"/>
      <c r="B1307" s="332" t="s">
        <v>687</v>
      </c>
      <c r="C1307" s="308"/>
      <c r="D1307" s="335"/>
      <c r="E1307" s="319"/>
      <c r="F1307" s="336"/>
    </row>
    <row r="1308" spans="1:11" x14ac:dyDescent="0.2">
      <c r="A1308" s="213"/>
      <c r="B1308" s="28"/>
      <c r="C1308" s="27"/>
      <c r="D1308" s="230"/>
      <c r="E1308" s="23"/>
      <c r="F1308" s="214"/>
    </row>
    <row r="1309" spans="1:11" ht="25.5" x14ac:dyDescent="0.2">
      <c r="A1309" s="213"/>
      <c r="B1309" s="28" t="s">
        <v>226</v>
      </c>
      <c r="C1309" s="27"/>
      <c r="D1309" s="230"/>
      <c r="E1309" s="23"/>
      <c r="F1309" s="214"/>
    </row>
    <row r="1310" spans="1:11" ht="25.5" x14ac:dyDescent="0.2">
      <c r="A1310" s="213"/>
      <c r="B1310" s="28" t="s">
        <v>119</v>
      </c>
      <c r="C1310" s="27"/>
      <c r="D1310" s="230"/>
      <c r="E1310" s="23"/>
      <c r="F1310" s="214"/>
    </row>
    <row r="1311" spans="1:11" x14ac:dyDescent="0.2">
      <c r="A1311" s="231"/>
      <c r="B1311" s="28"/>
      <c r="C1311" s="22"/>
      <c r="D1311" s="38"/>
      <c r="E1311" s="23"/>
      <c r="F1311" s="219"/>
      <c r="G1311" s="82"/>
      <c r="H1311" s="82"/>
      <c r="I1311" s="82"/>
      <c r="J1311" s="82"/>
      <c r="K1311" s="82"/>
    </row>
    <row r="1312" spans="1:11" x14ac:dyDescent="0.2">
      <c r="A1312" s="232"/>
      <c r="B1312" s="12" t="s">
        <v>109</v>
      </c>
      <c r="C1312" s="16"/>
      <c r="D1312" s="18"/>
      <c r="E1312" s="23"/>
      <c r="F1312" s="219"/>
    </row>
    <row r="1313" spans="1:6" x14ac:dyDescent="0.2">
      <c r="A1313" s="231"/>
      <c r="B1313" s="15" t="s">
        <v>535</v>
      </c>
      <c r="C1313" s="16" t="s">
        <v>31</v>
      </c>
      <c r="D1313" s="45">
        <v>63</v>
      </c>
      <c r="E1313" s="12"/>
      <c r="F1313" s="219">
        <f>D1313*E1313</f>
        <v>0</v>
      </c>
    </row>
    <row r="1314" spans="1:6" x14ac:dyDescent="0.2">
      <c r="A1314" s="231"/>
      <c r="B1314" s="15"/>
      <c r="C1314" s="16"/>
      <c r="D1314" s="45"/>
      <c r="E1314" s="23"/>
      <c r="F1314" s="219"/>
    </row>
    <row r="1315" spans="1:6" ht="15" x14ac:dyDescent="0.2">
      <c r="A1315" s="224" t="s">
        <v>65</v>
      </c>
      <c r="B1315" s="156" t="s">
        <v>1102</v>
      </c>
      <c r="C1315" s="142"/>
      <c r="D1315" s="227"/>
      <c r="E1315" s="143"/>
      <c r="F1315" s="228"/>
    </row>
    <row r="1316" spans="1:6" ht="15" x14ac:dyDescent="0.2">
      <c r="A1316" s="224"/>
      <c r="B1316" s="156"/>
      <c r="C1316" s="142"/>
      <c r="D1316" s="227"/>
      <c r="E1316" s="143"/>
      <c r="F1316" s="228"/>
    </row>
    <row r="1317" spans="1:6" ht="25.5" x14ac:dyDescent="0.2">
      <c r="A1317" s="233"/>
      <c r="B1317" s="28" t="s">
        <v>1107</v>
      </c>
      <c r="C1317" s="22"/>
      <c r="D1317" s="38"/>
      <c r="E1317" s="23"/>
      <c r="F1317" s="219"/>
    </row>
    <row r="1318" spans="1:6" ht="76.5" x14ac:dyDescent="0.2">
      <c r="A1318" s="213"/>
      <c r="B1318" s="28" t="s">
        <v>1108</v>
      </c>
      <c r="C1318" s="22"/>
      <c r="D1318" s="38"/>
      <c r="E1318" s="23"/>
      <c r="F1318" s="219"/>
    </row>
    <row r="1319" spans="1:6" ht="63.75" x14ac:dyDescent="0.2">
      <c r="A1319" s="213"/>
      <c r="B1319" s="28" t="s">
        <v>1109</v>
      </c>
      <c r="C1319" s="27"/>
      <c r="D1319" s="230"/>
      <c r="E1319" s="23"/>
      <c r="F1319" s="214"/>
    </row>
    <row r="1320" spans="1:6" ht="76.5" x14ac:dyDescent="0.2">
      <c r="A1320" s="213"/>
      <c r="B1320" s="28" t="s">
        <v>1106</v>
      </c>
      <c r="C1320" s="27"/>
      <c r="D1320" s="230"/>
      <c r="E1320" s="23"/>
      <c r="F1320" s="214"/>
    </row>
    <row r="1321" spans="1:6" ht="51" x14ac:dyDescent="0.2">
      <c r="A1321" s="213"/>
      <c r="B1321" s="28" t="s">
        <v>686</v>
      </c>
      <c r="C1321" s="27"/>
      <c r="D1321" s="230"/>
      <c r="E1321" s="23"/>
      <c r="F1321" s="214"/>
    </row>
    <row r="1322" spans="1:6" ht="25.5" x14ac:dyDescent="0.2">
      <c r="A1322" s="213"/>
      <c r="B1322" s="28" t="s">
        <v>226</v>
      </c>
      <c r="C1322" s="27"/>
      <c r="D1322" s="230"/>
      <c r="E1322" s="23"/>
      <c r="F1322" s="214"/>
    </row>
    <row r="1323" spans="1:6" ht="25.5" x14ac:dyDescent="0.2">
      <c r="A1323" s="231"/>
      <c r="B1323" s="28" t="s">
        <v>119</v>
      </c>
      <c r="C1323" s="22"/>
      <c r="D1323" s="38"/>
      <c r="E1323" s="23"/>
      <c r="F1323" s="219"/>
    </row>
    <row r="1324" spans="1:6" x14ac:dyDescent="0.2">
      <c r="A1324" s="231"/>
      <c r="B1324" s="28"/>
      <c r="C1324" s="22"/>
      <c r="D1324" s="38"/>
      <c r="E1324" s="23"/>
      <c r="F1324" s="219"/>
    </row>
    <row r="1325" spans="1:6" x14ac:dyDescent="0.2">
      <c r="A1325" s="232"/>
      <c r="B1325" s="12" t="s">
        <v>110</v>
      </c>
      <c r="C1325" s="16"/>
      <c r="D1325" s="18"/>
      <c r="E1325" s="23"/>
      <c r="F1325" s="219"/>
    </row>
    <row r="1326" spans="1:6" ht="25.5" x14ac:dyDescent="0.2">
      <c r="A1326" s="232"/>
      <c r="B1326" s="20" t="s">
        <v>1110</v>
      </c>
      <c r="C1326" s="16"/>
      <c r="D1326" s="18"/>
      <c r="E1326" s="23"/>
      <c r="F1326" s="219"/>
    </row>
    <row r="1327" spans="1:6" x14ac:dyDescent="0.2">
      <c r="A1327" s="231"/>
      <c r="B1327" s="15" t="s">
        <v>534</v>
      </c>
      <c r="C1327" s="16" t="s">
        <v>31</v>
      </c>
      <c r="D1327" s="45">
        <v>53</v>
      </c>
      <c r="E1327" s="12"/>
      <c r="F1327" s="219">
        <f>D1327*E1327</f>
        <v>0</v>
      </c>
    </row>
    <row r="1328" spans="1:6" x14ac:dyDescent="0.2">
      <c r="A1328" s="231"/>
      <c r="B1328" s="72"/>
      <c r="C1328" s="22"/>
      <c r="D1328" s="38"/>
      <c r="E1328" s="23"/>
      <c r="F1328" s="219"/>
    </row>
    <row r="1329" spans="1:11" ht="15" x14ac:dyDescent="0.2">
      <c r="A1329" s="234" t="s">
        <v>257</v>
      </c>
      <c r="B1329" s="156" t="s">
        <v>518</v>
      </c>
      <c r="C1329" s="142"/>
      <c r="D1329" s="227"/>
      <c r="E1329" s="143"/>
      <c r="F1329" s="228"/>
      <c r="G1329" s="144"/>
      <c r="H1329" s="144"/>
      <c r="I1329" s="144"/>
      <c r="J1329" s="144"/>
      <c r="K1329" s="144"/>
    </row>
    <row r="1330" spans="1:11" ht="15" x14ac:dyDescent="0.2">
      <c r="A1330" s="229"/>
      <c r="B1330" s="156"/>
      <c r="C1330" s="142"/>
      <c r="D1330" s="227"/>
      <c r="E1330" s="143"/>
      <c r="F1330" s="228"/>
      <c r="G1330" s="144"/>
      <c r="H1330" s="144"/>
      <c r="I1330" s="144"/>
      <c r="J1330" s="144"/>
      <c r="K1330" s="144"/>
    </row>
    <row r="1331" spans="1:11" ht="39" thickBot="1" x14ac:dyDescent="0.25">
      <c r="A1331" s="337"/>
      <c r="B1331" s="332" t="s">
        <v>519</v>
      </c>
      <c r="C1331" s="333"/>
      <c r="D1331" s="334"/>
      <c r="E1331" s="319"/>
      <c r="F1331" s="311"/>
    </row>
    <row r="1332" spans="1:11" ht="15" x14ac:dyDescent="0.2">
      <c r="A1332" s="229"/>
      <c r="B1332" s="28"/>
      <c r="C1332" s="22"/>
      <c r="D1332" s="38"/>
      <c r="E1332" s="23"/>
      <c r="F1332" s="219"/>
    </row>
    <row r="1333" spans="1:11" ht="76.5" x14ac:dyDescent="0.2">
      <c r="A1333" s="213"/>
      <c r="B1333" s="28" t="s">
        <v>1111</v>
      </c>
      <c r="C1333" s="22"/>
      <c r="D1333" s="38"/>
      <c r="E1333" s="23"/>
      <c r="F1333" s="219"/>
      <c r="G1333" s="194"/>
    </row>
    <row r="1334" spans="1:11" ht="63.75" x14ac:dyDescent="0.2">
      <c r="A1334" s="213"/>
      <c r="B1334" s="28" t="s">
        <v>1105</v>
      </c>
      <c r="C1334" s="27"/>
      <c r="D1334" s="230"/>
      <c r="E1334" s="23"/>
      <c r="F1334" s="214"/>
    </row>
    <row r="1335" spans="1:11" ht="25.5" x14ac:dyDescent="0.2">
      <c r="A1335" s="213"/>
      <c r="B1335" s="1" t="s">
        <v>690</v>
      </c>
      <c r="C1335" s="27"/>
      <c r="D1335" s="230"/>
      <c r="E1335" s="23"/>
      <c r="F1335" s="214"/>
    </row>
    <row r="1336" spans="1:11" ht="51" x14ac:dyDescent="0.2">
      <c r="A1336" s="213"/>
      <c r="B1336" s="1" t="s">
        <v>1112</v>
      </c>
      <c r="C1336" s="27"/>
      <c r="D1336" s="230"/>
      <c r="E1336" s="23"/>
      <c r="F1336" s="214"/>
    </row>
    <row r="1337" spans="1:11" ht="38.25" x14ac:dyDescent="0.2">
      <c r="A1337" s="213"/>
      <c r="B1337" s="1" t="s">
        <v>1113</v>
      </c>
      <c r="C1337" s="27"/>
      <c r="D1337" s="230"/>
      <c r="E1337" s="23"/>
      <c r="F1337" s="214"/>
    </row>
    <row r="1338" spans="1:11" ht="51" x14ac:dyDescent="0.2">
      <c r="A1338" s="213"/>
      <c r="B1338" s="28" t="s">
        <v>686</v>
      </c>
      <c r="C1338" s="27"/>
      <c r="D1338" s="230"/>
      <c r="E1338" s="23"/>
      <c r="F1338" s="214"/>
    </row>
    <row r="1339" spans="1:11" ht="51" x14ac:dyDescent="0.2">
      <c r="A1339" s="213"/>
      <c r="B1339" s="1" t="s">
        <v>687</v>
      </c>
      <c r="C1339" s="27"/>
      <c r="D1339" s="230"/>
      <c r="E1339" s="23"/>
      <c r="F1339" s="214"/>
    </row>
    <row r="1340" spans="1:11" ht="25.5" x14ac:dyDescent="0.2">
      <c r="A1340" s="213"/>
      <c r="B1340" s="28" t="s">
        <v>119</v>
      </c>
      <c r="C1340" s="27"/>
      <c r="D1340" s="230"/>
      <c r="E1340" s="23"/>
      <c r="F1340" s="214"/>
    </row>
    <row r="1341" spans="1:11" x14ac:dyDescent="0.2">
      <c r="A1341" s="231"/>
      <c r="B1341" s="72"/>
      <c r="C1341" s="22"/>
      <c r="D1341" s="38"/>
      <c r="E1341" s="23"/>
      <c r="F1341" s="219"/>
    </row>
    <row r="1342" spans="1:11" x14ac:dyDescent="0.2">
      <c r="A1342" s="232"/>
      <c r="B1342" s="12" t="s">
        <v>536</v>
      </c>
      <c r="C1342" s="16"/>
      <c r="D1342" s="18"/>
      <c r="E1342" s="23"/>
      <c r="F1342" s="219"/>
    </row>
    <row r="1343" spans="1:11" x14ac:dyDescent="0.2">
      <c r="A1343" s="232"/>
      <c r="B1343" s="12" t="s">
        <v>1114</v>
      </c>
      <c r="C1343" s="16"/>
      <c r="D1343" s="18"/>
      <c r="E1343" s="23"/>
      <c r="F1343" s="219"/>
    </row>
    <row r="1344" spans="1:11" x14ac:dyDescent="0.2">
      <c r="A1344" s="231"/>
      <c r="B1344" s="15" t="s">
        <v>534</v>
      </c>
      <c r="C1344" s="16" t="s">
        <v>31</v>
      </c>
      <c r="D1344" s="45">
        <v>54</v>
      </c>
      <c r="E1344" s="12"/>
      <c r="F1344" s="219">
        <f>D1344*E1344</f>
        <v>0</v>
      </c>
    </row>
    <row r="1345" spans="1:11" x14ac:dyDescent="0.2">
      <c r="A1345" s="231"/>
      <c r="B1345" s="15"/>
      <c r="C1345" s="16"/>
      <c r="D1345" s="45"/>
      <c r="E1345" s="12"/>
      <c r="F1345" s="219"/>
    </row>
    <row r="1346" spans="1:11" ht="15" x14ac:dyDescent="0.2">
      <c r="A1346" s="234" t="s">
        <v>258</v>
      </c>
      <c r="B1346" s="156" t="s">
        <v>1115</v>
      </c>
      <c r="C1346" s="142"/>
      <c r="D1346" s="227"/>
      <c r="E1346" s="143"/>
      <c r="F1346" s="228"/>
      <c r="G1346" s="144"/>
      <c r="H1346" s="144"/>
      <c r="I1346" s="144"/>
      <c r="J1346" s="144"/>
      <c r="K1346" s="144"/>
    </row>
    <row r="1347" spans="1:11" ht="15" x14ac:dyDescent="0.2">
      <c r="A1347" s="229"/>
      <c r="B1347" s="156"/>
      <c r="C1347" s="142"/>
      <c r="D1347" s="227"/>
      <c r="E1347" s="143"/>
      <c r="F1347" s="228"/>
      <c r="G1347" s="144"/>
      <c r="H1347" s="144"/>
      <c r="I1347" s="144"/>
      <c r="J1347" s="144"/>
      <c r="K1347" s="144"/>
    </row>
    <row r="1348" spans="1:11" ht="89.25" x14ac:dyDescent="0.2">
      <c r="A1348" s="213"/>
      <c r="B1348" s="28" t="s">
        <v>1116</v>
      </c>
      <c r="C1348" s="22"/>
      <c r="D1348" s="38"/>
      <c r="E1348" s="23"/>
      <c r="F1348" s="219"/>
    </row>
    <row r="1349" spans="1:11" ht="77.25" thickBot="1" x14ac:dyDescent="0.25">
      <c r="A1349" s="306"/>
      <c r="B1349" s="332" t="s">
        <v>1516</v>
      </c>
      <c r="C1349" s="333"/>
      <c r="D1349" s="334"/>
      <c r="E1349" s="319"/>
      <c r="F1349" s="311"/>
    </row>
    <row r="1350" spans="1:11" x14ac:dyDescent="0.2">
      <c r="A1350" s="213"/>
      <c r="B1350" s="28"/>
      <c r="C1350" s="22"/>
      <c r="D1350" s="38"/>
      <c r="E1350" s="23"/>
      <c r="F1350" s="219"/>
    </row>
    <row r="1351" spans="1:11" ht="25.5" x14ac:dyDescent="0.2">
      <c r="A1351" s="213"/>
      <c r="B1351" s="28" t="s">
        <v>1517</v>
      </c>
      <c r="C1351" s="22"/>
      <c r="D1351" s="38"/>
      <c r="E1351" s="23"/>
      <c r="F1351" s="219"/>
    </row>
    <row r="1352" spans="1:11" ht="114.75" x14ac:dyDescent="0.2">
      <c r="A1352" s="213"/>
      <c r="B1352" s="28" t="s">
        <v>1117</v>
      </c>
      <c r="C1352" s="22"/>
      <c r="D1352" s="38"/>
      <c r="E1352" s="23"/>
      <c r="F1352" s="219"/>
    </row>
    <row r="1353" spans="1:11" ht="51" x14ac:dyDescent="0.2">
      <c r="A1353" s="213"/>
      <c r="B1353" s="28" t="s">
        <v>1118</v>
      </c>
      <c r="C1353" s="22"/>
      <c r="D1353" s="38"/>
      <c r="E1353" s="23"/>
      <c r="F1353" s="219"/>
    </row>
    <row r="1354" spans="1:11" ht="25.5" x14ac:dyDescent="0.2">
      <c r="A1354" s="213"/>
      <c r="B1354" s="28" t="s">
        <v>1119</v>
      </c>
      <c r="C1354" s="22"/>
      <c r="D1354" s="38"/>
      <c r="E1354" s="23"/>
      <c r="F1354" s="219"/>
    </row>
    <row r="1355" spans="1:11" ht="25.5" x14ac:dyDescent="0.2">
      <c r="A1355" s="213"/>
      <c r="B1355" s="28" t="s">
        <v>1120</v>
      </c>
      <c r="C1355" s="22"/>
      <c r="D1355" s="38"/>
      <c r="E1355" s="23"/>
      <c r="F1355" s="219"/>
    </row>
    <row r="1356" spans="1:11" x14ac:dyDescent="0.2">
      <c r="A1356" s="231"/>
      <c r="B1356" s="72"/>
      <c r="C1356" s="22"/>
      <c r="D1356" s="38"/>
      <c r="E1356" s="23"/>
      <c r="F1356" s="219"/>
    </row>
    <row r="1357" spans="1:11" x14ac:dyDescent="0.2">
      <c r="A1357" s="232"/>
      <c r="B1357" s="12" t="s">
        <v>1121</v>
      </c>
      <c r="C1357" s="16"/>
      <c r="D1357" s="18"/>
      <c r="E1357" s="23"/>
      <c r="F1357" s="219"/>
    </row>
    <row r="1358" spans="1:11" x14ac:dyDescent="0.2">
      <c r="A1358" s="232"/>
      <c r="B1358" s="12" t="s">
        <v>1122</v>
      </c>
      <c r="C1358" s="16"/>
      <c r="D1358" s="18"/>
      <c r="E1358" s="23"/>
      <c r="F1358" s="219"/>
    </row>
    <row r="1359" spans="1:11" x14ac:dyDescent="0.2">
      <c r="A1359" s="231"/>
      <c r="B1359" s="15" t="s">
        <v>1123</v>
      </c>
      <c r="C1359" s="16" t="s">
        <v>31</v>
      </c>
      <c r="D1359" s="45">
        <v>7</v>
      </c>
      <c r="E1359" s="12"/>
      <c r="F1359" s="219">
        <f>D1359*E1359</f>
        <v>0</v>
      </c>
    </row>
    <row r="1360" spans="1:11" x14ac:dyDescent="0.2">
      <c r="A1360" s="231"/>
      <c r="B1360" s="15"/>
      <c r="C1360" s="16"/>
      <c r="D1360" s="45"/>
      <c r="E1360" s="12"/>
      <c r="F1360" s="219"/>
    </row>
    <row r="1361" spans="1:11" ht="15" x14ac:dyDescent="0.2">
      <c r="A1361" s="234" t="s">
        <v>275</v>
      </c>
      <c r="B1361" s="156" t="s">
        <v>1124</v>
      </c>
      <c r="C1361" s="142"/>
      <c r="D1361" s="227"/>
      <c r="E1361" s="143"/>
      <c r="F1361" s="228"/>
      <c r="G1361" s="144"/>
      <c r="H1361" s="144"/>
      <c r="I1361" s="144"/>
      <c r="J1361" s="144"/>
      <c r="K1361" s="144"/>
    </row>
    <row r="1362" spans="1:11" ht="15" x14ac:dyDescent="0.2">
      <c r="A1362" s="229"/>
      <c r="B1362" s="156"/>
      <c r="C1362" s="142"/>
      <c r="D1362" s="227"/>
      <c r="E1362" s="143"/>
      <c r="F1362" s="228"/>
      <c r="G1362" s="144"/>
      <c r="H1362" s="144"/>
      <c r="I1362" s="144"/>
      <c r="J1362" s="144"/>
      <c r="K1362" s="144"/>
    </row>
    <row r="1363" spans="1:11" ht="38.25" x14ac:dyDescent="0.2">
      <c r="A1363" s="213"/>
      <c r="B1363" s="28" t="s">
        <v>1125</v>
      </c>
      <c r="C1363" s="22"/>
      <c r="D1363" s="38"/>
      <c r="E1363" s="23"/>
      <c r="F1363" s="219"/>
    </row>
    <row r="1364" spans="1:11" ht="25.5" x14ac:dyDescent="0.2">
      <c r="A1364" s="213"/>
      <c r="B1364" s="28" t="s">
        <v>1126</v>
      </c>
      <c r="C1364" s="22"/>
      <c r="D1364" s="38"/>
      <c r="E1364" s="23"/>
      <c r="F1364" s="219"/>
    </row>
    <row r="1365" spans="1:11" ht="25.5" x14ac:dyDescent="0.2">
      <c r="A1365" s="213"/>
      <c r="B1365" s="28" t="s">
        <v>1127</v>
      </c>
      <c r="C1365" s="22"/>
      <c r="D1365" s="38"/>
      <c r="E1365" s="23"/>
      <c r="F1365" s="219"/>
    </row>
    <row r="1366" spans="1:11" x14ac:dyDescent="0.2">
      <c r="A1366" s="213"/>
      <c r="B1366" s="28" t="s">
        <v>1128</v>
      </c>
      <c r="C1366" s="22"/>
      <c r="D1366" s="38"/>
      <c r="E1366" s="23"/>
      <c r="F1366" s="219"/>
    </row>
    <row r="1367" spans="1:11" x14ac:dyDescent="0.2">
      <c r="A1367" s="213"/>
      <c r="B1367" s="28"/>
      <c r="C1367" s="22"/>
      <c r="D1367" s="38"/>
      <c r="E1367" s="23"/>
      <c r="F1367" s="219"/>
    </row>
    <row r="1368" spans="1:11" x14ac:dyDescent="0.2">
      <c r="A1368" s="232"/>
      <c r="B1368" s="12" t="s">
        <v>1129</v>
      </c>
      <c r="C1368" s="16"/>
      <c r="D1368" s="18"/>
      <c r="E1368" s="23"/>
      <c r="F1368" s="219"/>
    </row>
    <row r="1369" spans="1:11" x14ac:dyDescent="0.2">
      <c r="A1369" s="232"/>
      <c r="B1369" s="12" t="s">
        <v>1124</v>
      </c>
      <c r="C1369" s="16"/>
      <c r="D1369" s="18"/>
      <c r="E1369" s="23"/>
      <c r="F1369" s="219"/>
    </row>
    <row r="1370" spans="1:11" ht="13.5" thickBot="1" x14ac:dyDescent="0.25">
      <c r="A1370" s="338"/>
      <c r="B1370" s="339" t="s">
        <v>1130</v>
      </c>
      <c r="C1370" s="318" t="s">
        <v>31</v>
      </c>
      <c r="D1370" s="340">
        <v>1</v>
      </c>
      <c r="E1370" s="341"/>
      <c r="F1370" s="311">
        <f>D1370*E1370</f>
        <v>0</v>
      </c>
    </row>
    <row r="1371" spans="1:11" x14ac:dyDescent="0.2">
      <c r="A1371" s="231"/>
      <c r="B1371" s="72"/>
      <c r="C1371" s="22"/>
      <c r="D1371" s="38"/>
      <c r="E1371" s="23"/>
      <c r="F1371" s="219"/>
    </row>
    <row r="1372" spans="1:11" ht="15" x14ac:dyDescent="0.2">
      <c r="A1372" s="234" t="s">
        <v>283</v>
      </c>
      <c r="B1372" s="156" t="s">
        <v>667</v>
      </c>
      <c r="C1372" s="142"/>
      <c r="D1372" s="227"/>
      <c r="E1372" s="143"/>
      <c r="F1372" s="228"/>
      <c r="G1372" s="144"/>
      <c r="H1372" s="144"/>
      <c r="I1372" s="144"/>
      <c r="J1372" s="144"/>
      <c r="K1372" s="144"/>
    </row>
    <row r="1373" spans="1:11" ht="15" x14ac:dyDescent="0.2">
      <c r="A1373" s="229"/>
      <c r="B1373" s="156"/>
      <c r="C1373" s="142"/>
      <c r="D1373" s="227"/>
      <c r="E1373" s="143"/>
      <c r="F1373" s="228"/>
      <c r="G1373" s="144"/>
      <c r="H1373" s="144"/>
      <c r="I1373" s="144"/>
      <c r="J1373" s="144"/>
      <c r="K1373" s="144"/>
    </row>
    <row r="1374" spans="1:11" ht="51" x14ac:dyDescent="0.2">
      <c r="A1374" s="213"/>
      <c r="B1374" s="28" t="s">
        <v>1452</v>
      </c>
      <c r="C1374" s="22"/>
      <c r="D1374" s="38"/>
      <c r="E1374" s="23"/>
      <c r="F1374" s="219"/>
    </row>
    <row r="1375" spans="1:11" ht="25.5" x14ac:dyDescent="0.2">
      <c r="A1375" s="231"/>
      <c r="B1375" s="28" t="s">
        <v>520</v>
      </c>
      <c r="C1375" s="22"/>
      <c r="D1375" s="38"/>
      <c r="E1375" s="23"/>
      <c r="F1375" s="219"/>
    </row>
    <row r="1376" spans="1:11" x14ac:dyDescent="0.2">
      <c r="A1376" s="231"/>
      <c r="B1376" s="28" t="s">
        <v>521</v>
      </c>
      <c r="C1376" s="22"/>
      <c r="D1376" s="38"/>
      <c r="E1376" s="23"/>
      <c r="F1376" s="219"/>
    </row>
    <row r="1377" spans="1:6" ht="25.5" x14ac:dyDescent="0.2">
      <c r="A1377" s="231"/>
      <c r="B1377" s="28" t="s">
        <v>522</v>
      </c>
      <c r="C1377" s="22"/>
      <c r="D1377" s="38"/>
      <c r="E1377" s="23"/>
      <c r="F1377" s="219"/>
    </row>
    <row r="1378" spans="1:6" x14ac:dyDescent="0.2">
      <c r="A1378" s="231"/>
      <c r="B1378" s="72"/>
      <c r="C1378" s="22"/>
      <c r="D1378" s="38"/>
      <c r="E1378" s="23"/>
      <c r="F1378" s="219"/>
    </row>
    <row r="1379" spans="1:6" x14ac:dyDescent="0.2">
      <c r="A1379" s="232" t="s">
        <v>1447</v>
      </c>
      <c r="B1379" s="12" t="s">
        <v>1448</v>
      </c>
      <c r="C1379" s="16" t="s">
        <v>31</v>
      </c>
      <c r="D1379" s="45">
        <v>53</v>
      </c>
      <c r="E1379" s="12"/>
      <c r="F1379" s="219">
        <f>D1379*E1379</f>
        <v>0</v>
      </c>
    </row>
    <row r="1380" spans="1:6" x14ac:dyDescent="0.2">
      <c r="A1380" s="232"/>
      <c r="B1380" s="72"/>
      <c r="C1380" s="22"/>
      <c r="D1380" s="45"/>
      <c r="E1380" s="23"/>
      <c r="F1380" s="219"/>
    </row>
    <row r="1381" spans="1:6" x14ac:dyDescent="0.2">
      <c r="A1381" s="232" t="s">
        <v>1449</v>
      </c>
      <c r="B1381" s="12" t="s">
        <v>691</v>
      </c>
      <c r="C1381" s="16" t="s">
        <v>31</v>
      </c>
      <c r="D1381" s="45">
        <v>39</v>
      </c>
      <c r="E1381" s="12"/>
      <c r="F1381" s="219">
        <f>D1381*E1381</f>
        <v>0</v>
      </c>
    </row>
    <row r="1382" spans="1:6" ht="13.5" thickBot="1" x14ac:dyDescent="0.25">
      <c r="A1382" s="281"/>
      <c r="B1382" s="92"/>
      <c r="C1382" s="93"/>
      <c r="D1382" s="282"/>
      <c r="E1382" s="92"/>
      <c r="F1382" s="283"/>
    </row>
    <row r="1383" spans="1:6" ht="17.100000000000001" customHeight="1" thickBot="1" x14ac:dyDescent="0.25">
      <c r="A1383" s="235" t="str">
        <f>A1270</f>
        <v>8.</v>
      </c>
      <c r="B1383" s="52" t="s">
        <v>46</v>
      </c>
      <c r="C1383" s="53"/>
      <c r="D1383" s="236"/>
      <c r="E1383" s="145"/>
      <c r="F1383" s="238">
        <f>SUM(F1276:F1382)</f>
        <v>0</v>
      </c>
    </row>
    <row r="1384" spans="1:6" ht="17.100000000000001" customHeight="1" thickBot="1" x14ac:dyDescent="0.25">
      <c r="A1384" s="235" t="s">
        <v>81</v>
      </c>
      <c r="B1384" s="52" t="s">
        <v>120</v>
      </c>
      <c r="C1384" s="53"/>
      <c r="D1384" s="236"/>
      <c r="E1384" s="139"/>
      <c r="F1384" s="237"/>
    </row>
    <row r="1385" spans="1:6" x14ac:dyDescent="0.2">
      <c r="A1385" s="231"/>
      <c r="B1385" s="72"/>
      <c r="C1385" s="22"/>
      <c r="D1385" s="38"/>
      <c r="E1385" s="23"/>
      <c r="F1385" s="219"/>
    </row>
    <row r="1386" spans="1:6" x14ac:dyDescent="0.2">
      <c r="A1386" s="231"/>
      <c r="B1386" s="12" t="s">
        <v>60</v>
      </c>
      <c r="C1386" s="22"/>
      <c r="D1386" s="38"/>
      <c r="E1386" s="23"/>
      <c r="F1386" s="219"/>
    </row>
    <row r="1387" spans="1:6" ht="89.25" x14ac:dyDescent="0.2">
      <c r="A1387" s="231"/>
      <c r="B1387" s="124" t="s">
        <v>708</v>
      </c>
      <c r="C1387" s="22"/>
      <c r="D1387" s="38"/>
      <c r="E1387" s="23"/>
      <c r="F1387" s="219"/>
    </row>
    <row r="1388" spans="1:6" ht="38.25" x14ac:dyDescent="0.2">
      <c r="A1388" s="231"/>
      <c r="B1388" s="124" t="s">
        <v>122</v>
      </c>
      <c r="C1388" s="22"/>
      <c r="D1388" s="38"/>
      <c r="E1388" s="23"/>
      <c r="F1388" s="219"/>
    </row>
    <row r="1389" spans="1:6" ht="51" x14ac:dyDescent="0.2">
      <c r="A1389" s="231"/>
      <c r="B1389" s="124" t="s">
        <v>123</v>
      </c>
      <c r="C1389" s="22"/>
      <c r="D1389" s="38"/>
      <c r="E1389" s="23"/>
      <c r="F1389" s="219"/>
    </row>
    <row r="1390" spans="1:6" ht="76.5" x14ac:dyDescent="0.2">
      <c r="A1390" s="231"/>
      <c r="B1390" s="124" t="s">
        <v>239</v>
      </c>
      <c r="C1390" s="22"/>
      <c r="D1390" s="38"/>
      <c r="E1390" s="23"/>
      <c r="F1390" s="219"/>
    </row>
    <row r="1391" spans="1:6" ht="38.25" x14ac:dyDescent="0.2">
      <c r="A1391" s="231"/>
      <c r="B1391" s="124" t="s">
        <v>716</v>
      </c>
      <c r="C1391" s="22"/>
      <c r="D1391" s="38"/>
      <c r="E1391" s="23"/>
      <c r="F1391" s="219"/>
    </row>
    <row r="1392" spans="1:6" ht="140.25" x14ac:dyDescent="0.2">
      <c r="A1392" s="231"/>
      <c r="B1392" s="124" t="s">
        <v>717</v>
      </c>
      <c r="C1392" s="22"/>
      <c r="D1392" s="38"/>
      <c r="E1392" s="23"/>
      <c r="F1392" s="219"/>
    </row>
    <row r="1393" spans="1:6" ht="76.5" x14ac:dyDescent="0.2">
      <c r="A1393" s="231"/>
      <c r="B1393" s="127" t="s">
        <v>253</v>
      </c>
      <c r="C1393" s="22"/>
      <c r="D1393" s="38"/>
      <c r="E1393" s="23"/>
      <c r="F1393" s="219"/>
    </row>
    <row r="1394" spans="1:6" ht="25.5" x14ac:dyDescent="0.2">
      <c r="A1394" s="231"/>
      <c r="B1394" s="124" t="s">
        <v>254</v>
      </c>
      <c r="C1394" s="22"/>
      <c r="D1394" s="38"/>
      <c r="E1394" s="23"/>
      <c r="F1394" s="219"/>
    </row>
    <row r="1395" spans="1:6" ht="51" x14ac:dyDescent="0.2">
      <c r="A1395" s="231"/>
      <c r="B1395" s="157" t="s">
        <v>730</v>
      </c>
      <c r="C1395" s="22"/>
      <c r="D1395" s="38"/>
      <c r="E1395" s="23"/>
      <c r="F1395" s="219"/>
    </row>
    <row r="1396" spans="1:6" s="82" customFormat="1" ht="26.25" thickBot="1" x14ac:dyDescent="0.25">
      <c r="A1396" s="338"/>
      <c r="B1396" s="332" t="s">
        <v>731</v>
      </c>
      <c r="C1396" s="333"/>
      <c r="D1396" s="334"/>
      <c r="E1396" s="319"/>
      <c r="F1396" s="311"/>
    </row>
    <row r="1397" spans="1:6" s="82" customFormat="1" x14ac:dyDescent="0.2">
      <c r="A1397" s="231"/>
      <c r="B1397" s="28"/>
      <c r="C1397" s="22"/>
      <c r="D1397" s="38"/>
      <c r="E1397" s="23"/>
      <c r="F1397" s="219"/>
    </row>
    <row r="1398" spans="1:6" ht="15" x14ac:dyDescent="0.2">
      <c r="A1398" s="213" t="s">
        <v>175</v>
      </c>
      <c r="B1398" s="37" t="s">
        <v>1131</v>
      </c>
      <c r="C1398" s="16"/>
      <c r="D1398" s="45"/>
      <c r="E1398" s="12"/>
      <c r="F1398" s="219"/>
    </row>
    <row r="1399" spans="1:6" x14ac:dyDescent="0.2">
      <c r="A1399" s="231"/>
      <c r="B1399" s="12"/>
      <c r="C1399" s="16"/>
      <c r="D1399" s="45"/>
      <c r="E1399" s="12"/>
      <c r="F1399" s="219"/>
    </row>
    <row r="1400" spans="1:6" ht="76.5" x14ac:dyDescent="0.2">
      <c r="A1400" s="213"/>
      <c r="B1400" s="28" t="s">
        <v>1132</v>
      </c>
      <c r="C1400" s="16"/>
      <c r="D1400" s="45"/>
      <c r="E1400" s="12"/>
      <c r="F1400" s="219"/>
    </row>
    <row r="1401" spans="1:6" ht="38.25" x14ac:dyDescent="0.2">
      <c r="A1401" s="231"/>
      <c r="B1401" s="20" t="s">
        <v>1133</v>
      </c>
      <c r="C1401" s="16"/>
      <c r="D1401" s="45"/>
      <c r="E1401" s="12"/>
      <c r="F1401" s="219"/>
    </row>
    <row r="1402" spans="1:6" ht="89.25" x14ac:dyDescent="0.2">
      <c r="A1402" s="231"/>
      <c r="B1402" s="20" t="s">
        <v>1134</v>
      </c>
      <c r="C1402" s="16"/>
      <c r="D1402" s="45"/>
      <c r="E1402" s="12"/>
      <c r="F1402" s="219"/>
    </row>
    <row r="1403" spans="1:6" ht="38.25" x14ac:dyDescent="0.2">
      <c r="A1403" s="231"/>
      <c r="B1403" s="20" t="s">
        <v>1135</v>
      </c>
      <c r="C1403" s="16"/>
      <c r="D1403" s="45"/>
      <c r="E1403" s="12"/>
      <c r="F1403" s="219"/>
    </row>
    <row r="1404" spans="1:6" ht="38.25" x14ac:dyDescent="0.2">
      <c r="A1404" s="231"/>
      <c r="B1404" s="20" t="s">
        <v>1136</v>
      </c>
      <c r="C1404" s="16"/>
      <c r="D1404" s="45"/>
      <c r="E1404" s="12"/>
      <c r="F1404" s="219"/>
    </row>
    <row r="1405" spans="1:6" ht="51" x14ac:dyDescent="0.2">
      <c r="A1405" s="231"/>
      <c r="B1405" s="20" t="s">
        <v>1137</v>
      </c>
      <c r="C1405" s="16"/>
      <c r="D1405" s="45"/>
      <c r="E1405" s="12"/>
      <c r="F1405" s="219"/>
    </row>
    <row r="1406" spans="1:6" ht="51" x14ac:dyDescent="0.2">
      <c r="A1406" s="231"/>
      <c r="B1406" s="28" t="s">
        <v>1138</v>
      </c>
      <c r="C1406" s="16"/>
      <c r="D1406" s="45"/>
      <c r="E1406" s="12"/>
      <c r="F1406" s="219"/>
    </row>
    <row r="1407" spans="1:6" ht="78.75" customHeight="1" x14ac:dyDescent="0.2">
      <c r="A1407" s="231"/>
      <c r="B1407" s="28" t="s">
        <v>1139</v>
      </c>
      <c r="C1407" s="16"/>
      <c r="D1407" s="45"/>
      <c r="E1407" s="12"/>
      <c r="F1407" s="219"/>
    </row>
    <row r="1408" spans="1:6" ht="25.5" x14ac:dyDescent="0.2">
      <c r="A1408" s="231"/>
      <c r="B1408" s="28" t="s">
        <v>1140</v>
      </c>
      <c r="C1408" s="16"/>
      <c r="D1408" s="45"/>
      <c r="E1408" s="12"/>
      <c r="F1408" s="219"/>
    </row>
    <row r="1409" spans="1:6" ht="25.5" x14ac:dyDescent="0.2">
      <c r="A1409" s="231"/>
      <c r="B1409" s="28" t="s">
        <v>124</v>
      </c>
      <c r="C1409" s="16"/>
      <c r="D1409" s="45"/>
      <c r="E1409" s="12"/>
      <c r="F1409" s="219"/>
    </row>
    <row r="1410" spans="1:6" x14ac:dyDescent="0.2">
      <c r="A1410" s="231"/>
      <c r="B1410" s="12"/>
      <c r="C1410" s="16"/>
      <c r="D1410" s="45"/>
      <c r="E1410" s="12"/>
      <c r="F1410" s="219"/>
    </row>
    <row r="1411" spans="1:6" x14ac:dyDescent="0.2">
      <c r="A1411" s="232" t="s">
        <v>1141</v>
      </c>
      <c r="B1411" s="12" t="s">
        <v>125</v>
      </c>
      <c r="C1411" s="22"/>
      <c r="D1411" s="38"/>
      <c r="E1411" s="23"/>
      <c r="F1411" s="219"/>
    </row>
    <row r="1412" spans="1:6" ht="38.25" x14ac:dyDescent="0.2">
      <c r="A1412" s="232"/>
      <c r="B1412" s="20" t="s">
        <v>1142</v>
      </c>
      <c r="C1412" s="22"/>
      <c r="D1412" s="38"/>
      <c r="E1412" s="23"/>
      <c r="F1412" s="219"/>
    </row>
    <row r="1413" spans="1:6" ht="13.5" thickBot="1" x14ac:dyDescent="0.25">
      <c r="A1413" s="342"/>
      <c r="B1413" s="341" t="s">
        <v>538</v>
      </c>
      <c r="C1413" s="318" t="s">
        <v>31</v>
      </c>
      <c r="D1413" s="340">
        <v>25</v>
      </c>
      <c r="E1413" s="341"/>
      <c r="F1413" s="311">
        <f>D1413*E1413</f>
        <v>0</v>
      </c>
    </row>
    <row r="1414" spans="1:6" x14ac:dyDescent="0.2">
      <c r="A1414" s="232"/>
      <c r="B1414" s="12"/>
      <c r="C1414" s="22"/>
      <c r="D1414" s="38"/>
      <c r="E1414" s="23"/>
      <c r="F1414" s="219"/>
    </row>
    <row r="1415" spans="1:6" x14ac:dyDescent="0.2">
      <c r="A1415" s="232" t="s">
        <v>1143</v>
      </c>
      <c r="B1415" s="12" t="s">
        <v>176</v>
      </c>
      <c r="C1415" s="22"/>
      <c r="D1415" s="38"/>
      <c r="E1415" s="23"/>
      <c r="F1415" s="219"/>
    </row>
    <row r="1416" spans="1:6" ht="38.25" x14ac:dyDescent="0.2">
      <c r="A1416" s="232"/>
      <c r="B1416" s="20" t="s">
        <v>1142</v>
      </c>
      <c r="C1416" s="22"/>
      <c r="D1416" s="38"/>
      <c r="E1416" s="23"/>
      <c r="F1416" s="219"/>
    </row>
    <row r="1417" spans="1:6" x14ac:dyDescent="0.2">
      <c r="A1417" s="232"/>
      <c r="B1417" s="12" t="s">
        <v>538</v>
      </c>
      <c r="C1417" s="16" t="s">
        <v>31</v>
      </c>
      <c r="D1417" s="45">
        <v>9</v>
      </c>
      <c r="E1417" s="12"/>
      <c r="F1417" s="219">
        <f>D1417*E1417</f>
        <v>0</v>
      </c>
    </row>
    <row r="1418" spans="1:6" x14ac:dyDescent="0.2">
      <c r="A1418" s="232"/>
      <c r="B1418" s="12"/>
      <c r="C1418" s="16"/>
      <c r="D1418" s="45"/>
      <c r="E1418" s="12"/>
      <c r="F1418" s="219"/>
    </row>
    <row r="1419" spans="1:6" x14ac:dyDescent="0.2">
      <c r="A1419" s="232" t="s">
        <v>1144</v>
      </c>
      <c r="B1419" s="12" t="s">
        <v>1145</v>
      </c>
      <c r="C1419" s="22"/>
      <c r="D1419" s="38"/>
      <c r="E1419" s="23"/>
      <c r="F1419" s="219"/>
    </row>
    <row r="1420" spans="1:6" ht="38.25" x14ac:dyDescent="0.2">
      <c r="A1420" s="232"/>
      <c r="B1420" s="20" t="s">
        <v>1146</v>
      </c>
      <c r="C1420" s="22"/>
      <c r="D1420" s="38"/>
      <c r="E1420" s="23"/>
      <c r="F1420" s="219"/>
    </row>
    <row r="1421" spans="1:6" x14ac:dyDescent="0.2">
      <c r="A1421" s="232"/>
      <c r="B1421" s="12" t="s">
        <v>1147</v>
      </c>
      <c r="C1421" s="16" t="s">
        <v>31</v>
      </c>
      <c r="D1421" s="45">
        <v>3</v>
      </c>
      <c r="E1421" s="12"/>
      <c r="F1421" s="219">
        <f>D1421*E1421</f>
        <v>0</v>
      </c>
    </row>
    <row r="1422" spans="1:6" x14ac:dyDescent="0.2">
      <c r="A1422" s="232"/>
      <c r="B1422" s="12"/>
      <c r="C1422" s="16"/>
      <c r="D1422" s="45"/>
      <c r="E1422" s="12"/>
      <c r="F1422" s="219"/>
    </row>
    <row r="1423" spans="1:6" x14ac:dyDescent="0.2">
      <c r="A1423" s="232" t="s">
        <v>1148</v>
      </c>
      <c r="B1423" s="12" t="s">
        <v>1149</v>
      </c>
      <c r="C1423" s="22"/>
      <c r="D1423" s="38"/>
      <c r="E1423" s="23"/>
      <c r="F1423" s="219"/>
    </row>
    <row r="1424" spans="1:6" ht="38.25" x14ac:dyDescent="0.2">
      <c r="A1424" s="232"/>
      <c r="B1424" s="20" t="s">
        <v>1146</v>
      </c>
      <c r="C1424" s="22"/>
      <c r="D1424" s="38"/>
      <c r="E1424" s="23"/>
      <c r="F1424" s="219"/>
    </row>
    <row r="1425" spans="1:6" x14ac:dyDescent="0.2">
      <c r="A1425" s="232"/>
      <c r="B1425" s="12" t="s">
        <v>1147</v>
      </c>
      <c r="C1425" s="16" t="s">
        <v>31</v>
      </c>
      <c r="D1425" s="45">
        <v>1</v>
      </c>
      <c r="E1425" s="12"/>
      <c r="F1425" s="219">
        <f>D1425*E1425</f>
        <v>0</v>
      </c>
    </row>
    <row r="1426" spans="1:6" x14ac:dyDescent="0.2">
      <c r="A1426" s="232"/>
      <c r="B1426" s="12"/>
      <c r="C1426" s="16"/>
      <c r="D1426" s="45"/>
      <c r="E1426" s="12"/>
      <c r="F1426" s="219"/>
    </row>
    <row r="1427" spans="1:6" x14ac:dyDescent="0.2">
      <c r="A1427" s="232" t="s">
        <v>1150</v>
      </c>
      <c r="B1427" s="12" t="s">
        <v>1151</v>
      </c>
      <c r="C1427" s="22"/>
      <c r="D1427" s="38"/>
      <c r="E1427" s="23"/>
      <c r="F1427" s="219"/>
    </row>
    <row r="1428" spans="1:6" ht="38.25" x14ac:dyDescent="0.2">
      <c r="A1428" s="232"/>
      <c r="B1428" s="20" t="s">
        <v>1146</v>
      </c>
      <c r="C1428" s="22"/>
      <c r="D1428" s="38"/>
      <c r="E1428" s="23"/>
      <c r="F1428" s="219"/>
    </row>
    <row r="1429" spans="1:6" x14ac:dyDescent="0.2">
      <c r="A1429" s="232"/>
      <c r="B1429" s="12" t="s">
        <v>1152</v>
      </c>
      <c r="C1429" s="16" t="s">
        <v>31</v>
      </c>
      <c r="D1429" s="45">
        <v>1</v>
      </c>
      <c r="E1429" s="12"/>
      <c r="F1429" s="219">
        <f>D1429*E1429</f>
        <v>0</v>
      </c>
    </row>
    <row r="1430" spans="1:6" x14ac:dyDescent="0.2">
      <c r="A1430" s="232"/>
      <c r="B1430" s="12"/>
      <c r="C1430" s="16"/>
      <c r="D1430" s="45"/>
      <c r="E1430" s="12"/>
      <c r="F1430" s="219"/>
    </row>
    <row r="1431" spans="1:6" x14ac:dyDescent="0.2">
      <c r="A1431" s="232" t="s">
        <v>1150</v>
      </c>
      <c r="B1431" s="12" t="s">
        <v>1153</v>
      </c>
      <c r="C1431" s="22"/>
      <c r="D1431" s="38"/>
      <c r="E1431" s="23"/>
      <c r="F1431" s="219"/>
    </row>
    <row r="1432" spans="1:6" ht="38.25" x14ac:dyDescent="0.2">
      <c r="A1432" s="232"/>
      <c r="B1432" s="20" t="s">
        <v>1146</v>
      </c>
      <c r="C1432" s="22"/>
      <c r="D1432" s="38"/>
      <c r="E1432" s="23"/>
      <c r="F1432" s="219"/>
    </row>
    <row r="1433" spans="1:6" x14ac:dyDescent="0.2">
      <c r="A1433" s="232"/>
      <c r="B1433" s="12" t="s">
        <v>1152</v>
      </c>
      <c r="C1433" s="16" t="s">
        <v>31</v>
      </c>
      <c r="D1433" s="45">
        <v>1</v>
      </c>
      <c r="E1433" s="12"/>
      <c r="F1433" s="219">
        <f>D1433*E1433</f>
        <v>0</v>
      </c>
    </row>
    <row r="1434" spans="1:6" x14ac:dyDescent="0.2">
      <c r="A1434" s="232"/>
      <c r="B1434" s="12"/>
      <c r="C1434" s="22"/>
      <c r="D1434" s="38"/>
      <c r="E1434" s="23"/>
      <c r="F1434" s="219"/>
    </row>
    <row r="1435" spans="1:6" x14ac:dyDescent="0.2">
      <c r="A1435" s="232" t="s">
        <v>1154</v>
      </c>
      <c r="B1435" s="12" t="s">
        <v>126</v>
      </c>
      <c r="C1435" s="22"/>
      <c r="D1435" s="38"/>
      <c r="E1435" s="23"/>
      <c r="F1435" s="219"/>
    </row>
    <row r="1436" spans="1:6" ht="38.25" x14ac:dyDescent="0.2">
      <c r="A1436" s="232"/>
      <c r="B1436" s="20" t="s">
        <v>1155</v>
      </c>
      <c r="C1436" s="22"/>
      <c r="D1436" s="38"/>
      <c r="E1436" s="23"/>
      <c r="F1436" s="219"/>
    </row>
    <row r="1437" spans="1:6" x14ac:dyDescent="0.2">
      <c r="A1437" s="232"/>
      <c r="B1437" s="12" t="s">
        <v>539</v>
      </c>
      <c r="C1437" s="16" t="s">
        <v>31</v>
      </c>
      <c r="D1437" s="45">
        <v>44</v>
      </c>
      <c r="E1437" s="12"/>
      <c r="F1437" s="219">
        <f>D1437*E1437</f>
        <v>0</v>
      </c>
    </row>
    <row r="1438" spans="1:6" x14ac:dyDescent="0.2">
      <c r="A1438" s="232"/>
      <c r="B1438" s="12"/>
      <c r="C1438" s="22"/>
      <c r="D1438" s="38"/>
      <c r="E1438" s="23"/>
      <c r="F1438" s="219"/>
    </row>
    <row r="1439" spans="1:6" x14ac:dyDescent="0.2">
      <c r="A1439" s="232" t="s">
        <v>1156</v>
      </c>
      <c r="B1439" s="12" t="s">
        <v>540</v>
      </c>
      <c r="C1439" s="22"/>
      <c r="D1439" s="38"/>
      <c r="E1439" s="23"/>
      <c r="F1439" s="219"/>
    </row>
    <row r="1440" spans="1:6" ht="38.25" x14ac:dyDescent="0.2">
      <c r="A1440" s="232"/>
      <c r="B1440" s="20" t="s">
        <v>1155</v>
      </c>
      <c r="C1440" s="22"/>
      <c r="D1440" s="38"/>
      <c r="E1440" s="23"/>
      <c r="F1440" s="219"/>
    </row>
    <row r="1441" spans="1:6" x14ac:dyDescent="0.2">
      <c r="A1441" s="232"/>
      <c r="B1441" s="12" t="s">
        <v>539</v>
      </c>
      <c r="C1441" s="16" t="s">
        <v>31</v>
      </c>
      <c r="D1441" s="45">
        <v>35</v>
      </c>
      <c r="E1441" s="12"/>
      <c r="F1441" s="219">
        <f>D1441*E1441</f>
        <v>0</v>
      </c>
    </row>
    <row r="1442" spans="1:6" x14ac:dyDescent="0.2">
      <c r="A1442" s="232"/>
      <c r="B1442" s="12"/>
      <c r="C1442" s="16"/>
      <c r="D1442" s="45"/>
      <c r="E1442" s="12"/>
      <c r="F1442" s="219"/>
    </row>
    <row r="1443" spans="1:6" x14ac:dyDescent="0.2">
      <c r="A1443" s="232" t="s">
        <v>1157</v>
      </c>
      <c r="B1443" s="12" t="s">
        <v>1158</v>
      </c>
      <c r="C1443" s="22"/>
      <c r="D1443" s="38"/>
      <c r="E1443" s="23"/>
      <c r="F1443" s="219"/>
    </row>
    <row r="1444" spans="1:6" ht="38.25" x14ac:dyDescent="0.2">
      <c r="A1444" s="232"/>
      <c r="B1444" s="20" t="s">
        <v>1155</v>
      </c>
      <c r="C1444" s="22"/>
      <c r="D1444" s="38"/>
      <c r="E1444" s="23"/>
      <c r="F1444" s="219"/>
    </row>
    <row r="1445" spans="1:6" ht="13.5" thickBot="1" x14ac:dyDescent="0.25">
      <c r="A1445" s="342"/>
      <c r="B1445" s="341" t="s">
        <v>1159</v>
      </c>
      <c r="C1445" s="318" t="s">
        <v>31</v>
      </c>
      <c r="D1445" s="340">
        <v>2</v>
      </c>
      <c r="E1445" s="341"/>
      <c r="F1445" s="311">
        <f>D1445*E1445</f>
        <v>0</v>
      </c>
    </row>
    <row r="1446" spans="1:6" x14ac:dyDescent="0.2">
      <c r="A1446" s="232"/>
      <c r="B1446" s="12"/>
      <c r="C1446" s="16"/>
      <c r="D1446" s="45"/>
      <c r="E1446" s="12"/>
      <c r="F1446" s="219"/>
    </row>
    <row r="1447" spans="1:6" x14ac:dyDescent="0.2">
      <c r="A1447" s="232" t="s">
        <v>1157</v>
      </c>
      <c r="B1447" s="12" t="s">
        <v>1160</v>
      </c>
      <c r="C1447" s="22"/>
      <c r="D1447" s="38"/>
      <c r="E1447" s="23"/>
      <c r="F1447" s="219"/>
    </row>
    <row r="1448" spans="1:6" ht="38.25" x14ac:dyDescent="0.2">
      <c r="A1448" s="232"/>
      <c r="B1448" s="20" t="s">
        <v>1155</v>
      </c>
      <c r="C1448" s="22"/>
      <c r="D1448" s="38"/>
      <c r="E1448" s="23"/>
      <c r="F1448" s="219"/>
    </row>
    <row r="1449" spans="1:6" x14ac:dyDescent="0.2">
      <c r="A1449" s="232"/>
      <c r="B1449" s="12" t="s">
        <v>1159</v>
      </c>
      <c r="C1449" s="16" t="s">
        <v>31</v>
      </c>
      <c r="D1449" s="45">
        <v>3</v>
      </c>
      <c r="E1449" s="12"/>
      <c r="F1449" s="219">
        <f>D1449*E1449</f>
        <v>0</v>
      </c>
    </row>
    <row r="1450" spans="1:6" x14ac:dyDescent="0.2">
      <c r="A1450" s="232"/>
      <c r="B1450" s="12"/>
      <c r="C1450" s="16"/>
      <c r="D1450" s="45"/>
      <c r="E1450" s="12"/>
      <c r="F1450" s="219"/>
    </row>
    <row r="1451" spans="1:6" x14ac:dyDescent="0.2">
      <c r="A1451" s="232" t="s">
        <v>1161</v>
      </c>
      <c r="B1451" s="12" t="s">
        <v>1162</v>
      </c>
      <c r="C1451" s="22"/>
      <c r="D1451" s="38"/>
      <c r="E1451" s="23"/>
      <c r="F1451" s="219"/>
    </row>
    <row r="1452" spans="1:6" ht="38.25" x14ac:dyDescent="0.2">
      <c r="A1452" s="232"/>
      <c r="B1452" s="20" t="s">
        <v>1163</v>
      </c>
      <c r="C1452" s="22"/>
      <c r="D1452" s="38"/>
      <c r="E1452" s="23"/>
      <c r="F1452" s="219"/>
    </row>
    <row r="1453" spans="1:6" x14ac:dyDescent="0.2">
      <c r="A1453" s="232"/>
      <c r="B1453" s="12" t="s">
        <v>855</v>
      </c>
      <c r="C1453" s="16" t="s">
        <v>31</v>
      </c>
      <c r="D1453" s="45">
        <v>7</v>
      </c>
      <c r="E1453" s="12"/>
      <c r="F1453" s="219">
        <f>D1453*E1453</f>
        <v>0</v>
      </c>
    </row>
    <row r="1454" spans="1:6" x14ac:dyDescent="0.2">
      <c r="A1454" s="232"/>
      <c r="B1454" s="12"/>
      <c r="C1454" s="22"/>
      <c r="D1454" s="38"/>
      <c r="E1454" s="23"/>
      <c r="F1454" s="219"/>
    </row>
    <row r="1455" spans="1:6" x14ac:dyDescent="0.2">
      <c r="A1455" s="232" t="s">
        <v>1164</v>
      </c>
      <c r="B1455" s="12" t="s">
        <v>1165</v>
      </c>
      <c r="C1455" s="22"/>
      <c r="D1455" s="38"/>
      <c r="E1455" s="23"/>
      <c r="F1455" s="219"/>
    </row>
    <row r="1456" spans="1:6" ht="38.25" x14ac:dyDescent="0.2">
      <c r="A1456" s="232"/>
      <c r="B1456" s="20" t="s">
        <v>1163</v>
      </c>
      <c r="C1456" s="22"/>
      <c r="D1456" s="38"/>
      <c r="E1456" s="23"/>
      <c r="F1456" s="219"/>
    </row>
    <row r="1457" spans="1:6" x14ac:dyDescent="0.2">
      <c r="A1457" s="232"/>
      <c r="B1457" s="12" t="s">
        <v>855</v>
      </c>
      <c r="C1457" s="16" t="s">
        <v>31</v>
      </c>
      <c r="D1457" s="45">
        <v>4</v>
      </c>
      <c r="E1457" s="12"/>
      <c r="F1457" s="219">
        <f>D1457*E1457</f>
        <v>0</v>
      </c>
    </row>
    <row r="1458" spans="1:6" x14ac:dyDescent="0.2">
      <c r="A1458" s="232"/>
      <c r="B1458" s="12"/>
      <c r="C1458" s="16"/>
      <c r="D1458" s="45"/>
      <c r="E1458" s="12"/>
      <c r="F1458" s="219"/>
    </row>
    <row r="1459" spans="1:6" x14ac:dyDescent="0.2">
      <c r="A1459" s="232" t="s">
        <v>1166</v>
      </c>
      <c r="B1459" s="12" t="s">
        <v>1167</v>
      </c>
      <c r="C1459" s="22"/>
      <c r="D1459" s="38"/>
      <c r="E1459" s="23"/>
      <c r="F1459" s="219"/>
    </row>
    <row r="1460" spans="1:6" ht="25.5" x14ac:dyDescent="0.2">
      <c r="A1460" s="232"/>
      <c r="B1460" s="20" t="s">
        <v>1168</v>
      </c>
      <c r="C1460" s="22"/>
      <c r="D1460" s="38"/>
      <c r="E1460" s="23"/>
      <c r="F1460" s="219"/>
    </row>
    <row r="1461" spans="1:6" x14ac:dyDescent="0.2">
      <c r="A1461" s="232"/>
      <c r="B1461" s="12" t="s">
        <v>851</v>
      </c>
      <c r="C1461" s="16" t="s">
        <v>31</v>
      </c>
      <c r="D1461" s="45">
        <v>5</v>
      </c>
      <c r="E1461" s="12"/>
      <c r="F1461" s="219">
        <f>D1461*E1461</f>
        <v>0</v>
      </c>
    </row>
    <row r="1462" spans="1:6" x14ac:dyDescent="0.2">
      <c r="A1462" s="232"/>
      <c r="B1462" s="12"/>
      <c r="C1462" s="22"/>
      <c r="D1462" s="38"/>
      <c r="E1462" s="23"/>
      <c r="F1462" s="219"/>
    </row>
    <row r="1463" spans="1:6" x14ac:dyDescent="0.2">
      <c r="A1463" s="232" t="s">
        <v>1169</v>
      </c>
      <c r="B1463" s="12" t="s">
        <v>852</v>
      </c>
      <c r="C1463" s="22"/>
      <c r="D1463" s="38"/>
      <c r="E1463" s="23"/>
      <c r="F1463" s="219"/>
    </row>
    <row r="1464" spans="1:6" ht="25.5" x14ac:dyDescent="0.2">
      <c r="A1464" s="232"/>
      <c r="B1464" s="20" t="s">
        <v>1168</v>
      </c>
      <c r="C1464" s="22"/>
      <c r="D1464" s="38"/>
      <c r="E1464" s="23"/>
      <c r="F1464" s="219"/>
    </row>
    <row r="1465" spans="1:6" x14ac:dyDescent="0.2">
      <c r="A1465" s="232"/>
      <c r="B1465" s="12" t="s">
        <v>851</v>
      </c>
      <c r="C1465" s="16" t="s">
        <v>31</v>
      </c>
      <c r="D1465" s="45">
        <v>5</v>
      </c>
      <c r="E1465" s="12"/>
      <c r="F1465" s="219">
        <f>D1465*E1465</f>
        <v>0</v>
      </c>
    </row>
    <row r="1466" spans="1:6" x14ac:dyDescent="0.2">
      <c r="A1466" s="232"/>
      <c r="B1466" s="12"/>
      <c r="C1466" s="16"/>
      <c r="D1466" s="45"/>
      <c r="E1466" s="12"/>
      <c r="F1466" s="219"/>
    </row>
    <row r="1467" spans="1:6" ht="15" x14ac:dyDescent="0.2">
      <c r="A1467" s="213" t="s">
        <v>128</v>
      </c>
      <c r="B1467" s="37" t="s">
        <v>1170</v>
      </c>
      <c r="C1467" s="22"/>
      <c r="D1467" s="38"/>
      <c r="E1467" s="23"/>
      <c r="F1467" s="219"/>
    </row>
    <row r="1468" spans="1:6" x14ac:dyDescent="0.2">
      <c r="A1468" s="231"/>
      <c r="B1468" s="12"/>
      <c r="C1468" s="22"/>
      <c r="D1468" s="38"/>
      <c r="E1468" s="23"/>
      <c r="F1468" s="219"/>
    </row>
    <row r="1469" spans="1:6" ht="38.25" x14ac:dyDescent="0.2">
      <c r="A1469" s="213"/>
      <c r="B1469" s="28" t="s">
        <v>1171</v>
      </c>
      <c r="C1469" s="22"/>
      <c r="D1469" s="38"/>
      <c r="E1469" s="23"/>
      <c r="F1469" s="219"/>
    </row>
    <row r="1470" spans="1:6" ht="63.75" x14ac:dyDescent="0.2">
      <c r="A1470" s="213"/>
      <c r="B1470" s="28" t="s">
        <v>1172</v>
      </c>
      <c r="C1470" s="22"/>
      <c r="D1470" s="38"/>
      <c r="E1470" s="23"/>
      <c r="F1470" s="219"/>
    </row>
    <row r="1471" spans="1:6" ht="38.25" x14ac:dyDescent="0.2">
      <c r="A1471" s="231"/>
      <c r="B1471" s="20" t="s">
        <v>537</v>
      </c>
      <c r="C1471" s="22"/>
      <c r="D1471" s="38"/>
      <c r="E1471" s="23"/>
      <c r="F1471" s="219"/>
    </row>
    <row r="1472" spans="1:6" ht="89.25" x14ac:dyDescent="0.2">
      <c r="A1472" s="231"/>
      <c r="B1472" s="20" t="s">
        <v>1173</v>
      </c>
      <c r="C1472" s="22"/>
      <c r="D1472" s="38"/>
      <c r="E1472" s="23"/>
      <c r="F1472" s="219"/>
    </row>
    <row r="1473" spans="1:6" ht="51.75" thickBot="1" x14ac:dyDescent="0.25">
      <c r="A1473" s="338"/>
      <c r="B1473" s="317" t="s">
        <v>1174</v>
      </c>
      <c r="C1473" s="333"/>
      <c r="D1473" s="334"/>
      <c r="E1473" s="319"/>
      <c r="F1473" s="311"/>
    </row>
    <row r="1474" spans="1:6" x14ac:dyDescent="0.2">
      <c r="A1474" s="231"/>
      <c r="B1474" s="20"/>
      <c r="C1474" s="22"/>
      <c r="D1474" s="38"/>
      <c r="E1474" s="23"/>
      <c r="F1474" s="219"/>
    </row>
    <row r="1475" spans="1:6" ht="51" x14ac:dyDescent="0.2">
      <c r="A1475" s="231"/>
      <c r="B1475" s="20" t="s">
        <v>1175</v>
      </c>
      <c r="C1475" s="22"/>
      <c r="D1475" s="38"/>
      <c r="E1475" s="23"/>
      <c r="F1475" s="219"/>
    </row>
    <row r="1476" spans="1:6" ht="51" x14ac:dyDescent="0.2">
      <c r="A1476" s="231"/>
      <c r="B1476" s="28" t="s">
        <v>1176</v>
      </c>
      <c r="C1476" s="22"/>
      <c r="D1476" s="38"/>
      <c r="E1476" s="23"/>
      <c r="F1476" s="219"/>
    </row>
    <row r="1477" spans="1:6" ht="63.75" x14ac:dyDescent="0.2">
      <c r="A1477" s="231"/>
      <c r="B1477" s="28" t="s">
        <v>1177</v>
      </c>
      <c r="C1477" s="22"/>
      <c r="D1477" s="38"/>
      <c r="E1477" s="23"/>
      <c r="F1477" s="219"/>
    </row>
    <row r="1478" spans="1:6" ht="25.5" x14ac:dyDescent="0.2">
      <c r="A1478" s="231"/>
      <c r="B1478" s="28" t="s">
        <v>1140</v>
      </c>
      <c r="C1478" s="22"/>
      <c r="D1478" s="38"/>
      <c r="E1478" s="23"/>
      <c r="F1478" s="219"/>
    </row>
    <row r="1479" spans="1:6" ht="25.5" x14ac:dyDescent="0.2">
      <c r="A1479" s="231"/>
      <c r="B1479" s="28" t="s">
        <v>124</v>
      </c>
      <c r="C1479" s="22"/>
      <c r="D1479" s="38"/>
      <c r="E1479" s="23"/>
      <c r="F1479" s="219"/>
    </row>
    <row r="1480" spans="1:6" x14ac:dyDescent="0.2">
      <c r="A1480" s="231"/>
      <c r="B1480" s="28"/>
      <c r="C1480" s="22"/>
      <c r="D1480" s="38"/>
      <c r="E1480" s="23"/>
      <c r="F1480" s="219"/>
    </row>
    <row r="1481" spans="1:6" x14ac:dyDescent="0.2">
      <c r="A1481" s="232" t="s">
        <v>1178</v>
      </c>
      <c r="B1481" s="12" t="s">
        <v>1179</v>
      </c>
      <c r="C1481" s="22"/>
      <c r="D1481" s="22"/>
      <c r="E1481" s="23"/>
      <c r="F1481" s="219"/>
    </row>
    <row r="1482" spans="1:6" ht="38.25" x14ac:dyDescent="0.2">
      <c r="A1482" s="232"/>
      <c r="B1482" s="20" t="s">
        <v>1180</v>
      </c>
      <c r="C1482" s="22"/>
      <c r="D1482" s="38"/>
      <c r="E1482" s="23"/>
      <c r="F1482" s="219"/>
    </row>
    <row r="1483" spans="1:6" x14ac:dyDescent="0.2">
      <c r="A1483" s="232"/>
      <c r="B1483" s="12" t="s">
        <v>1181</v>
      </c>
      <c r="C1483" s="16" t="s">
        <v>31</v>
      </c>
      <c r="D1483" s="45">
        <v>11</v>
      </c>
      <c r="E1483" s="12"/>
      <c r="F1483" s="219">
        <f>D1483*E1483</f>
        <v>0</v>
      </c>
    </row>
    <row r="1484" spans="1:6" x14ac:dyDescent="0.2">
      <c r="A1484" s="232"/>
      <c r="B1484" s="12"/>
      <c r="C1484" s="16"/>
      <c r="D1484" s="195"/>
      <c r="E1484" s="12"/>
      <c r="F1484" s="219"/>
    </row>
    <row r="1485" spans="1:6" x14ac:dyDescent="0.2">
      <c r="A1485" s="232" t="s">
        <v>1178</v>
      </c>
      <c r="B1485" s="12" t="s">
        <v>1182</v>
      </c>
      <c r="C1485" s="22"/>
      <c r="D1485" s="22"/>
      <c r="E1485" s="23"/>
      <c r="F1485" s="219"/>
    </row>
    <row r="1486" spans="1:6" ht="38.25" x14ac:dyDescent="0.2">
      <c r="A1486" s="232"/>
      <c r="B1486" s="20" t="s">
        <v>1180</v>
      </c>
      <c r="C1486" s="22"/>
      <c r="D1486" s="38"/>
      <c r="E1486" s="23"/>
      <c r="F1486" s="219"/>
    </row>
    <row r="1487" spans="1:6" x14ac:dyDescent="0.2">
      <c r="A1487" s="232"/>
      <c r="B1487" s="12" t="s">
        <v>1183</v>
      </c>
      <c r="C1487" s="16" t="s">
        <v>31</v>
      </c>
      <c r="D1487" s="45">
        <v>12</v>
      </c>
      <c r="E1487" s="12"/>
      <c r="F1487" s="219">
        <f>D1487*E1487</f>
        <v>0</v>
      </c>
    </row>
    <row r="1488" spans="1:6" x14ac:dyDescent="0.2">
      <c r="A1488" s="231"/>
      <c r="B1488" s="12"/>
      <c r="C1488" s="22"/>
      <c r="D1488" s="38"/>
      <c r="E1488" s="23"/>
      <c r="F1488" s="219"/>
    </row>
    <row r="1489" spans="1:6" x14ac:dyDescent="0.2">
      <c r="A1489" s="232" t="s">
        <v>1186</v>
      </c>
      <c r="B1489" s="12" t="s">
        <v>1184</v>
      </c>
      <c r="C1489" s="22"/>
      <c r="D1489" s="38"/>
      <c r="E1489" s="23"/>
      <c r="F1489" s="219"/>
    </row>
    <row r="1490" spans="1:6" ht="38.25" x14ac:dyDescent="0.2">
      <c r="A1490" s="232"/>
      <c r="B1490" s="20" t="s">
        <v>1180</v>
      </c>
      <c r="C1490" s="22"/>
      <c r="D1490" s="38"/>
      <c r="E1490" s="23"/>
      <c r="F1490" s="219"/>
    </row>
    <row r="1491" spans="1:6" x14ac:dyDescent="0.2">
      <c r="A1491" s="232"/>
      <c r="B1491" s="12" t="s">
        <v>1185</v>
      </c>
      <c r="C1491" s="16" t="s">
        <v>31</v>
      </c>
      <c r="D1491" s="45">
        <v>3</v>
      </c>
      <c r="E1491" s="12"/>
      <c r="F1491" s="219">
        <f>D1491*E1491</f>
        <v>0</v>
      </c>
    </row>
    <row r="1492" spans="1:6" x14ac:dyDescent="0.2">
      <c r="A1492" s="232"/>
      <c r="B1492" s="12"/>
      <c r="C1492" s="22"/>
      <c r="D1492" s="38"/>
      <c r="E1492" s="23"/>
      <c r="F1492" s="219"/>
    </row>
    <row r="1493" spans="1:6" x14ac:dyDescent="0.2">
      <c r="A1493" s="232" t="s">
        <v>1189</v>
      </c>
      <c r="B1493" s="12" t="s">
        <v>1187</v>
      </c>
      <c r="C1493" s="22"/>
      <c r="D1493" s="38"/>
      <c r="E1493" s="23"/>
      <c r="F1493" s="219"/>
    </row>
    <row r="1494" spans="1:6" ht="38.25" x14ac:dyDescent="0.2">
      <c r="A1494" s="231"/>
      <c r="B1494" s="20" t="s">
        <v>1180</v>
      </c>
      <c r="C1494" s="22"/>
      <c r="D1494" s="38"/>
      <c r="E1494" s="23"/>
      <c r="F1494" s="219"/>
    </row>
    <row r="1495" spans="1:6" x14ac:dyDescent="0.2">
      <c r="A1495" s="231"/>
      <c r="B1495" s="12" t="s">
        <v>1188</v>
      </c>
      <c r="C1495" s="16" t="s">
        <v>31</v>
      </c>
      <c r="D1495" s="45">
        <v>3</v>
      </c>
      <c r="E1495" s="12"/>
      <c r="F1495" s="219">
        <f>D1495*E1495</f>
        <v>0</v>
      </c>
    </row>
    <row r="1496" spans="1:6" x14ac:dyDescent="0.2">
      <c r="A1496" s="231"/>
      <c r="B1496" s="12"/>
      <c r="C1496" s="16"/>
      <c r="D1496" s="45"/>
      <c r="E1496" s="12"/>
      <c r="F1496" s="219"/>
    </row>
    <row r="1497" spans="1:6" x14ac:dyDescent="0.2">
      <c r="A1497" s="232" t="s">
        <v>1193</v>
      </c>
      <c r="B1497" s="12" t="s">
        <v>1190</v>
      </c>
      <c r="C1497" s="22"/>
      <c r="D1497" s="38"/>
      <c r="E1497" s="23"/>
      <c r="F1497" s="219"/>
    </row>
    <row r="1498" spans="1:6" ht="38.25" x14ac:dyDescent="0.2">
      <c r="A1498" s="232"/>
      <c r="B1498" s="20" t="s">
        <v>1191</v>
      </c>
      <c r="C1498" s="22"/>
      <c r="D1498" s="38"/>
      <c r="E1498" s="23"/>
      <c r="F1498" s="219"/>
    </row>
    <row r="1499" spans="1:6" ht="13.5" thickBot="1" x14ac:dyDescent="0.25">
      <c r="A1499" s="342"/>
      <c r="B1499" s="341" t="s">
        <v>1192</v>
      </c>
      <c r="C1499" s="318" t="s">
        <v>31</v>
      </c>
      <c r="D1499" s="340">
        <v>4</v>
      </c>
      <c r="E1499" s="341"/>
      <c r="F1499" s="311">
        <f>D1499*E1499</f>
        <v>0</v>
      </c>
    </row>
    <row r="1500" spans="1:6" x14ac:dyDescent="0.2">
      <c r="A1500" s="232"/>
      <c r="B1500" s="12"/>
      <c r="C1500" s="22"/>
      <c r="D1500" s="38"/>
      <c r="E1500" s="23"/>
      <c r="F1500" s="219"/>
    </row>
    <row r="1501" spans="1:6" x14ac:dyDescent="0.2">
      <c r="A1501" s="232" t="s">
        <v>1495</v>
      </c>
      <c r="B1501" s="12" t="s">
        <v>1194</v>
      </c>
      <c r="C1501" s="22"/>
      <c r="D1501" s="38"/>
      <c r="E1501" s="23"/>
      <c r="F1501" s="219"/>
    </row>
    <row r="1502" spans="1:6" ht="38.25" x14ac:dyDescent="0.2">
      <c r="A1502" s="231"/>
      <c r="B1502" s="20" t="s">
        <v>1195</v>
      </c>
      <c r="C1502" s="22"/>
      <c r="D1502" s="38"/>
      <c r="E1502" s="23"/>
      <c r="F1502" s="219"/>
    </row>
    <row r="1503" spans="1:6" x14ac:dyDescent="0.2">
      <c r="A1503" s="231"/>
      <c r="B1503" s="12" t="s">
        <v>1192</v>
      </c>
      <c r="C1503" s="16" t="s">
        <v>31</v>
      </c>
      <c r="D1503" s="45">
        <v>4</v>
      </c>
      <c r="E1503" s="12"/>
      <c r="F1503" s="219">
        <f>D1503*E1503</f>
        <v>0</v>
      </c>
    </row>
    <row r="1504" spans="1:6" x14ac:dyDescent="0.2">
      <c r="A1504" s="231"/>
      <c r="B1504" s="12"/>
      <c r="C1504" s="16"/>
      <c r="D1504" s="45"/>
      <c r="E1504" s="12"/>
      <c r="F1504" s="219"/>
    </row>
    <row r="1505" spans="1:7" x14ac:dyDescent="0.2">
      <c r="A1505" s="232" t="s">
        <v>1496</v>
      </c>
      <c r="B1505" s="12" t="s">
        <v>1196</v>
      </c>
      <c r="C1505" s="22"/>
      <c r="D1505" s="22"/>
      <c r="E1505" s="23"/>
      <c r="F1505" s="219"/>
    </row>
    <row r="1506" spans="1:7" ht="51" x14ac:dyDescent="0.2">
      <c r="A1506" s="232"/>
      <c r="B1506" s="20" t="s">
        <v>1197</v>
      </c>
      <c r="C1506" s="22"/>
      <c r="D1506" s="22"/>
      <c r="E1506" s="23"/>
      <c r="F1506" s="219"/>
    </row>
    <row r="1507" spans="1:7" x14ac:dyDescent="0.2">
      <c r="A1507" s="232"/>
      <c r="B1507" s="12" t="s">
        <v>1198</v>
      </c>
      <c r="C1507" s="16" t="s">
        <v>31</v>
      </c>
      <c r="D1507" s="45">
        <v>1</v>
      </c>
      <c r="E1507" s="12"/>
      <c r="F1507" s="219">
        <f>D1507*E1507</f>
        <v>0</v>
      </c>
    </row>
    <row r="1508" spans="1:7" x14ac:dyDescent="0.2">
      <c r="A1508" s="232"/>
      <c r="B1508" s="12"/>
      <c r="C1508" s="22"/>
      <c r="D1508" s="22"/>
      <c r="E1508" s="23"/>
      <c r="F1508" s="219"/>
    </row>
    <row r="1509" spans="1:7" x14ac:dyDescent="0.2">
      <c r="A1509" s="232" t="s">
        <v>1497</v>
      </c>
      <c r="B1509" s="12" t="s">
        <v>1199</v>
      </c>
      <c r="C1509" s="22"/>
      <c r="D1509" s="22"/>
      <c r="E1509" s="23"/>
      <c r="F1509" s="219"/>
    </row>
    <row r="1510" spans="1:7" ht="51" x14ac:dyDescent="0.2">
      <c r="A1510" s="231"/>
      <c r="B1510" s="20" t="s">
        <v>1197</v>
      </c>
      <c r="C1510" s="22"/>
      <c r="D1510" s="22"/>
      <c r="E1510" s="23"/>
      <c r="F1510" s="219"/>
    </row>
    <row r="1511" spans="1:7" x14ac:dyDescent="0.2">
      <c r="A1511" s="231"/>
      <c r="B1511" s="12" t="s">
        <v>1200</v>
      </c>
      <c r="C1511" s="16" t="s">
        <v>31</v>
      </c>
      <c r="D1511" s="45">
        <v>1</v>
      </c>
      <c r="E1511" s="12"/>
      <c r="F1511" s="219">
        <f>D1511*E1511</f>
        <v>0</v>
      </c>
    </row>
    <row r="1512" spans="1:7" ht="13.5" thickBot="1" x14ac:dyDescent="0.25">
      <c r="A1512" s="232"/>
      <c r="B1512" s="12"/>
      <c r="C1512" s="22"/>
      <c r="D1512" s="38"/>
      <c r="E1512" s="23"/>
      <c r="F1512" s="219"/>
    </row>
    <row r="1513" spans="1:7" s="9" customFormat="1" ht="15.75" thickBot="1" x14ac:dyDescent="0.25">
      <c r="A1513" s="235" t="str">
        <f>A1384</f>
        <v>9.</v>
      </c>
      <c r="B1513" s="52" t="s">
        <v>121</v>
      </c>
      <c r="C1513" s="53"/>
      <c r="D1513" s="236"/>
      <c r="E1513" s="145"/>
      <c r="F1513" s="238">
        <f>SUM(F1385:F1512)</f>
        <v>0</v>
      </c>
      <c r="G1513" s="73"/>
    </row>
    <row r="1514" spans="1:7" s="9" customFormat="1" ht="15.75" thickBot="1" x14ac:dyDescent="0.25">
      <c r="A1514" s="239" t="s">
        <v>4</v>
      </c>
      <c r="B1514" s="61" t="s">
        <v>44</v>
      </c>
      <c r="C1514" s="62"/>
      <c r="D1514" s="240"/>
      <c r="E1514" s="146"/>
      <c r="F1514" s="241"/>
      <c r="G1514" s="73"/>
    </row>
    <row r="1515" spans="1:7" s="9" customFormat="1" x14ac:dyDescent="0.2">
      <c r="A1515" s="213"/>
      <c r="B1515" s="25"/>
      <c r="C1515" s="25"/>
      <c r="D1515" s="69"/>
      <c r="E1515" s="23"/>
      <c r="F1515" s="242"/>
      <c r="G1515" s="73"/>
    </row>
    <row r="1516" spans="1:7" s="9" customFormat="1" ht="15" x14ac:dyDescent="0.2">
      <c r="A1516" s="213"/>
      <c r="B1516" s="37" t="s">
        <v>60</v>
      </c>
      <c r="C1516" s="25"/>
      <c r="D1516" s="69"/>
      <c r="E1516" s="23"/>
      <c r="F1516" s="242"/>
      <c r="G1516" s="73"/>
    </row>
    <row r="1517" spans="1:7" s="9" customFormat="1" ht="89.25" x14ac:dyDescent="0.2">
      <c r="A1517" s="213"/>
      <c r="B1517" s="159" t="s">
        <v>709</v>
      </c>
      <c r="C1517" s="25"/>
      <c r="D1517" s="69"/>
      <c r="E1517" s="23"/>
      <c r="F1517" s="242"/>
      <c r="G1517" s="73"/>
    </row>
    <row r="1518" spans="1:7" s="9" customFormat="1" ht="51" x14ac:dyDescent="0.2">
      <c r="A1518" s="213"/>
      <c r="B1518" s="159" t="s">
        <v>242</v>
      </c>
      <c r="C1518" s="25"/>
      <c r="D1518" s="69"/>
      <c r="E1518" s="23"/>
      <c r="F1518" s="242"/>
      <c r="G1518" s="73"/>
    </row>
    <row r="1519" spans="1:7" s="9" customFormat="1" ht="25.5" x14ac:dyDescent="0.2">
      <c r="A1519" s="213"/>
      <c r="B1519" s="159" t="s">
        <v>233</v>
      </c>
      <c r="C1519" s="25"/>
      <c r="D1519" s="69"/>
      <c r="E1519" s="23"/>
      <c r="F1519" s="242"/>
      <c r="G1519" s="73"/>
    </row>
    <row r="1520" spans="1:7" s="9" customFormat="1" ht="51" x14ac:dyDescent="0.2">
      <c r="A1520" s="213"/>
      <c r="B1520" s="159" t="s">
        <v>234</v>
      </c>
      <c r="C1520" s="25"/>
      <c r="D1520" s="69"/>
      <c r="E1520" s="23"/>
      <c r="F1520" s="242"/>
      <c r="G1520" s="73"/>
    </row>
    <row r="1521" spans="1:7" s="9" customFormat="1" ht="25.5" x14ac:dyDescent="0.2">
      <c r="A1521" s="213"/>
      <c r="B1521" s="159" t="s">
        <v>235</v>
      </c>
      <c r="C1521" s="25"/>
      <c r="D1521" s="69"/>
      <c r="E1521" s="23"/>
      <c r="F1521" s="242"/>
      <c r="G1521" s="73"/>
    </row>
    <row r="1522" spans="1:7" s="9" customFormat="1" ht="38.25" x14ac:dyDescent="0.2">
      <c r="A1522" s="213"/>
      <c r="B1522" s="159" t="s">
        <v>236</v>
      </c>
      <c r="C1522" s="25"/>
      <c r="D1522" s="69"/>
      <c r="E1522" s="23"/>
      <c r="F1522" s="242"/>
      <c r="G1522" s="73"/>
    </row>
    <row r="1523" spans="1:7" s="9" customFormat="1" ht="25.5" x14ac:dyDescent="0.2">
      <c r="A1523" s="213"/>
      <c r="B1523" s="159" t="s">
        <v>237</v>
      </c>
      <c r="C1523" s="25"/>
      <c r="D1523" s="69"/>
      <c r="E1523" s="23"/>
      <c r="F1523" s="242"/>
      <c r="G1523" s="73"/>
    </row>
    <row r="1524" spans="1:7" s="9" customFormat="1" ht="38.25" x14ac:dyDescent="0.2">
      <c r="A1524" s="213"/>
      <c r="B1524" s="159" t="s">
        <v>238</v>
      </c>
      <c r="C1524" s="25"/>
      <c r="D1524" s="69"/>
      <c r="E1524" s="23"/>
      <c r="F1524" s="242"/>
      <c r="G1524" s="73"/>
    </row>
    <row r="1525" spans="1:7" s="9" customFormat="1" ht="51" x14ac:dyDescent="0.2">
      <c r="A1525" s="213"/>
      <c r="B1525" s="159" t="s">
        <v>669</v>
      </c>
      <c r="C1525" s="25"/>
      <c r="D1525" s="69"/>
      <c r="E1525" s="23"/>
      <c r="F1525" s="242"/>
      <c r="G1525" s="73"/>
    </row>
    <row r="1526" spans="1:7" s="9" customFormat="1" ht="76.5" x14ac:dyDescent="0.2">
      <c r="A1526" s="213"/>
      <c r="B1526" s="159" t="s">
        <v>239</v>
      </c>
      <c r="C1526" s="25"/>
      <c r="D1526" s="69"/>
      <c r="E1526" s="23"/>
      <c r="F1526" s="242"/>
      <c r="G1526" s="73"/>
    </row>
    <row r="1527" spans="1:7" s="9" customFormat="1" ht="51" x14ac:dyDescent="0.2">
      <c r="A1527" s="213"/>
      <c r="B1527" s="159" t="s">
        <v>240</v>
      </c>
      <c r="C1527" s="25"/>
      <c r="D1527" s="69"/>
      <c r="E1527" s="23"/>
      <c r="F1527" s="242"/>
      <c r="G1527" s="73"/>
    </row>
    <row r="1528" spans="1:7" s="9" customFormat="1" ht="115.5" thickBot="1" x14ac:dyDescent="0.25">
      <c r="A1528" s="306"/>
      <c r="B1528" s="343" t="s">
        <v>241</v>
      </c>
      <c r="C1528" s="327"/>
      <c r="D1528" s="344"/>
      <c r="E1528" s="319"/>
      <c r="F1528" s="345"/>
      <c r="G1528" s="73"/>
    </row>
    <row r="1529" spans="1:7" s="9" customFormat="1" x14ac:dyDescent="0.2">
      <c r="A1529" s="213"/>
      <c r="B1529" s="24"/>
      <c r="C1529" s="25"/>
      <c r="D1529" s="69"/>
      <c r="E1529" s="23"/>
      <c r="F1529" s="242"/>
      <c r="G1529" s="73"/>
    </row>
    <row r="1530" spans="1:7" s="9" customFormat="1" ht="15" x14ac:dyDescent="0.2">
      <c r="A1530" s="234" t="s">
        <v>185</v>
      </c>
      <c r="B1530" s="77" t="s">
        <v>15</v>
      </c>
      <c r="C1530" s="25"/>
      <c r="D1530" s="69"/>
      <c r="E1530" s="23"/>
      <c r="F1530" s="242"/>
      <c r="G1530" s="73"/>
    </row>
    <row r="1531" spans="1:7" s="9" customFormat="1" ht="15" x14ac:dyDescent="0.2">
      <c r="A1531" s="213"/>
      <c r="B1531" s="77"/>
      <c r="C1531" s="25"/>
      <c r="D1531" s="69"/>
      <c r="E1531" s="23"/>
      <c r="F1531" s="242"/>
      <c r="G1531" s="73"/>
    </row>
    <row r="1532" spans="1:7" s="9" customFormat="1" ht="51" x14ac:dyDescent="0.2">
      <c r="A1532" s="234"/>
      <c r="B1532" s="28" t="s">
        <v>1201</v>
      </c>
      <c r="C1532" s="25"/>
      <c r="D1532" s="69"/>
      <c r="E1532" s="23"/>
      <c r="F1532" s="242"/>
      <c r="G1532" s="73"/>
    </row>
    <row r="1533" spans="1:7" s="9" customFormat="1" ht="63.75" x14ac:dyDescent="0.2">
      <c r="A1533" s="234"/>
      <c r="B1533" s="28" t="s">
        <v>1202</v>
      </c>
      <c r="C1533" s="25"/>
      <c r="D1533" s="69"/>
      <c r="E1533" s="23"/>
      <c r="F1533" s="242"/>
      <c r="G1533" s="73"/>
    </row>
    <row r="1534" spans="1:7" s="9" customFormat="1" ht="38.25" x14ac:dyDescent="0.2">
      <c r="A1534" s="234"/>
      <c r="B1534" s="28" t="s">
        <v>1203</v>
      </c>
      <c r="C1534" s="16"/>
      <c r="D1534" s="243"/>
      <c r="E1534" s="23"/>
      <c r="F1534" s="214"/>
      <c r="G1534" s="73"/>
    </row>
    <row r="1535" spans="1:7" s="9" customFormat="1" ht="63.75" x14ac:dyDescent="0.2">
      <c r="A1535" s="234"/>
      <c r="B1535" s="28" t="s">
        <v>1204</v>
      </c>
      <c r="C1535" s="16"/>
      <c r="D1535" s="243"/>
      <c r="E1535" s="23"/>
      <c r="F1535" s="214"/>
      <c r="G1535" s="73"/>
    </row>
    <row r="1536" spans="1:7" s="9" customFormat="1" ht="51" x14ac:dyDescent="0.2">
      <c r="A1536" s="234"/>
      <c r="B1536" s="28" t="s">
        <v>541</v>
      </c>
      <c r="C1536" s="16"/>
      <c r="D1536" s="243"/>
      <c r="E1536" s="23"/>
      <c r="F1536" s="214"/>
      <c r="G1536" s="73"/>
    </row>
    <row r="1537" spans="1:7" s="9" customFormat="1" ht="63.75" x14ac:dyDescent="0.2">
      <c r="A1537" s="234"/>
      <c r="B1537" s="28" t="s">
        <v>1205</v>
      </c>
      <c r="C1537" s="16"/>
      <c r="D1537" s="243"/>
      <c r="E1537" s="23"/>
      <c r="F1537" s="214"/>
      <c r="G1537" s="73"/>
    </row>
    <row r="1538" spans="1:7" s="9" customFormat="1" ht="63.75" x14ac:dyDescent="0.2">
      <c r="A1538" s="234"/>
      <c r="B1538" s="28" t="s">
        <v>1206</v>
      </c>
      <c r="C1538" s="16"/>
      <c r="D1538" s="243"/>
      <c r="E1538" s="23"/>
      <c r="F1538" s="214"/>
      <c r="G1538" s="73"/>
    </row>
    <row r="1539" spans="1:7" s="9" customFormat="1" ht="63.75" x14ac:dyDescent="0.2">
      <c r="A1539" s="234"/>
      <c r="B1539" s="28" t="s">
        <v>548</v>
      </c>
      <c r="C1539" s="16"/>
      <c r="D1539" s="243"/>
      <c r="E1539" s="23"/>
      <c r="F1539" s="214"/>
      <c r="G1539" s="73"/>
    </row>
    <row r="1540" spans="1:7" s="9" customFormat="1" ht="38.25" x14ac:dyDescent="0.2">
      <c r="A1540" s="234"/>
      <c r="B1540" s="28" t="s">
        <v>542</v>
      </c>
      <c r="C1540" s="16"/>
      <c r="D1540" s="243"/>
      <c r="E1540" s="23"/>
      <c r="F1540" s="214"/>
      <c r="G1540" s="73"/>
    </row>
    <row r="1541" spans="1:7" s="9" customFormat="1" ht="38.25" x14ac:dyDescent="0.2">
      <c r="A1541" s="234"/>
      <c r="B1541" s="28" t="s">
        <v>543</v>
      </c>
      <c r="C1541" s="16"/>
      <c r="D1541" s="243"/>
      <c r="E1541" s="23"/>
      <c r="F1541" s="214"/>
      <c r="G1541" s="73"/>
    </row>
    <row r="1542" spans="1:7" s="9" customFormat="1" ht="39" thickBot="1" x14ac:dyDescent="0.25">
      <c r="A1542" s="346"/>
      <c r="B1542" s="347" t="s">
        <v>127</v>
      </c>
      <c r="C1542" s="318"/>
      <c r="D1542" s="348"/>
      <c r="E1542" s="319"/>
      <c r="F1542" s="336"/>
      <c r="G1542" s="73"/>
    </row>
    <row r="1543" spans="1:7" s="9" customFormat="1" x14ac:dyDescent="0.2">
      <c r="A1543" s="234"/>
      <c r="B1543" s="36"/>
      <c r="C1543" s="16"/>
      <c r="D1543" s="243"/>
      <c r="E1543" s="23"/>
      <c r="F1543" s="214"/>
      <c r="G1543" s="73"/>
    </row>
    <row r="1544" spans="1:7" s="9" customFormat="1" x14ac:dyDescent="0.2">
      <c r="A1544" s="234"/>
      <c r="B1544" s="12" t="s">
        <v>1207</v>
      </c>
      <c r="C1544" s="16"/>
      <c r="D1544" s="18"/>
      <c r="E1544" s="23"/>
      <c r="F1544" s="214"/>
      <c r="G1544" s="73"/>
    </row>
    <row r="1545" spans="1:7" s="9" customFormat="1" ht="38.25" x14ac:dyDescent="0.2">
      <c r="A1545" s="234"/>
      <c r="B1545" s="28" t="s">
        <v>544</v>
      </c>
      <c r="C1545" s="16"/>
      <c r="D1545" s="18"/>
      <c r="E1545" s="23"/>
      <c r="F1545" s="214"/>
      <c r="G1545" s="73"/>
    </row>
    <row r="1546" spans="1:7" s="9" customFormat="1" x14ac:dyDescent="0.2">
      <c r="A1546" s="234"/>
      <c r="B1546" s="12" t="s">
        <v>1208</v>
      </c>
      <c r="C1546" s="16" t="s">
        <v>31</v>
      </c>
      <c r="D1546" s="45">
        <v>1</v>
      </c>
      <c r="E1546" s="12"/>
      <c r="F1546" s="214">
        <f>D1546*E1546</f>
        <v>0</v>
      </c>
      <c r="G1546" s="73"/>
    </row>
    <row r="1547" spans="1:7" s="9" customFormat="1" x14ac:dyDescent="0.2">
      <c r="A1547" s="234"/>
      <c r="B1547" s="12"/>
      <c r="C1547" s="16"/>
      <c r="D1547" s="45"/>
      <c r="E1547" s="23"/>
      <c r="F1547" s="214"/>
      <c r="G1547" s="73"/>
    </row>
    <row r="1548" spans="1:7" s="9" customFormat="1" ht="15" x14ac:dyDescent="0.2">
      <c r="A1548" s="234" t="s">
        <v>186</v>
      </c>
      <c r="B1548" s="77" t="s">
        <v>15</v>
      </c>
      <c r="C1548" s="16"/>
      <c r="D1548" s="45"/>
      <c r="E1548" s="23"/>
      <c r="F1548" s="214"/>
      <c r="G1548" s="73"/>
    </row>
    <row r="1549" spans="1:7" s="9" customFormat="1" ht="15" x14ac:dyDescent="0.2">
      <c r="A1549" s="234"/>
      <c r="B1549" s="77"/>
      <c r="C1549" s="16"/>
      <c r="D1549" s="45"/>
      <c r="E1549" s="23"/>
      <c r="F1549" s="214"/>
      <c r="G1549" s="73"/>
    </row>
    <row r="1550" spans="1:7" s="9" customFormat="1" ht="51" x14ac:dyDescent="0.2">
      <c r="A1550" s="234"/>
      <c r="B1550" s="28" t="s">
        <v>1209</v>
      </c>
      <c r="C1550" s="16"/>
      <c r="D1550" s="45"/>
      <c r="E1550" s="23"/>
      <c r="F1550" s="214"/>
      <c r="G1550" s="73"/>
    </row>
    <row r="1551" spans="1:7" s="9" customFormat="1" ht="63.75" x14ac:dyDescent="0.2">
      <c r="A1551" s="234"/>
      <c r="B1551" s="28" t="s">
        <v>1210</v>
      </c>
      <c r="C1551" s="16"/>
      <c r="D1551" s="45"/>
      <c r="E1551" s="23"/>
      <c r="F1551" s="214"/>
      <c r="G1551" s="73"/>
    </row>
    <row r="1552" spans="1:7" s="9" customFormat="1" ht="38.25" x14ac:dyDescent="0.2">
      <c r="A1552" s="234"/>
      <c r="B1552" s="20" t="s">
        <v>1203</v>
      </c>
      <c r="C1552" s="16"/>
      <c r="D1552" s="45"/>
      <c r="E1552" s="23"/>
      <c r="F1552" s="214"/>
      <c r="G1552" s="73"/>
    </row>
    <row r="1553" spans="1:7" s="9" customFormat="1" ht="63.75" x14ac:dyDescent="0.2">
      <c r="A1553" s="234"/>
      <c r="B1553" s="20" t="s">
        <v>1211</v>
      </c>
      <c r="C1553" s="16"/>
      <c r="D1553" s="45"/>
      <c r="E1553" s="23"/>
      <c r="F1553" s="214"/>
      <c r="G1553" s="73"/>
    </row>
    <row r="1554" spans="1:7" s="9" customFormat="1" ht="38.25" x14ac:dyDescent="0.2">
      <c r="A1554" s="234"/>
      <c r="B1554" s="20" t="s">
        <v>546</v>
      </c>
      <c r="C1554" s="16"/>
      <c r="D1554" s="45"/>
      <c r="E1554" s="23"/>
      <c r="F1554" s="214"/>
      <c r="G1554" s="73"/>
    </row>
    <row r="1555" spans="1:7" s="9" customFormat="1" ht="51" x14ac:dyDescent="0.2">
      <c r="A1555" s="234"/>
      <c r="B1555" s="20" t="s">
        <v>547</v>
      </c>
      <c r="C1555" s="16"/>
      <c r="D1555" s="45"/>
      <c r="E1555" s="23"/>
      <c r="F1555" s="214"/>
      <c r="G1555" s="73"/>
    </row>
    <row r="1556" spans="1:7" s="9" customFormat="1" ht="38.25" x14ac:dyDescent="0.2">
      <c r="A1556" s="234"/>
      <c r="B1556" s="28" t="s">
        <v>543</v>
      </c>
      <c r="C1556" s="16"/>
      <c r="D1556" s="45"/>
      <c r="E1556" s="23"/>
      <c r="F1556" s="214"/>
      <c r="G1556" s="73"/>
    </row>
    <row r="1557" spans="1:7" s="9" customFormat="1" ht="38.25" x14ac:dyDescent="0.2">
      <c r="A1557" s="234"/>
      <c r="B1557" s="36" t="s">
        <v>127</v>
      </c>
      <c r="C1557" s="16"/>
      <c r="D1557" s="45"/>
      <c r="E1557" s="23"/>
      <c r="F1557" s="214"/>
      <c r="G1557" s="73"/>
    </row>
    <row r="1558" spans="1:7" s="9" customFormat="1" x14ac:dyDescent="0.2">
      <c r="A1558" s="234"/>
      <c r="B1558" s="12"/>
      <c r="C1558" s="16"/>
      <c r="D1558" s="45"/>
      <c r="E1558" s="23"/>
      <c r="F1558" s="214"/>
      <c r="G1558" s="73"/>
    </row>
    <row r="1559" spans="1:7" s="9" customFormat="1" x14ac:dyDescent="0.2">
      <c r="A1559" s="234"/>
      <c r="B1559" s="12" t="s">
        <v>1212</v>
      </c>
      <c r="C1559" s="16"/>
      <c r="D1559" s="18"/>
      <c r="E1559" s="23"/>
      <c r="F1559" s="214"/>
      <c r="G1559" s="73"/>
    </row>
    <row r="1560" spans="1:7" s="9" customFormat="1" ht="38.25" x14ac:dyDescent="0.2">
      <c r="A1560" s="234"/>
      <c r="B1560" s="28" t="s">
        <v>545</v>
      </c>
      <c r="C1560" s="16"/>
      <c r="D1560" s="18"/>
      <c r="E1560" s="23"/>
      <c r="F1560" s="214"/>
      <c r="G1560" s="73"/>
    </row>
    <row r="1561" spans="1:7" s="9" customFormat="1" ht="13.5" thickBot="1" x14ac:dyDescent="0.25">
      <c r="A1561" s="346"/>
      <c r="B1561" s="341" t="s">
        <v>1213</v>
      </c>
      <c r="C1561" s="318" t="s">
        <v>31</v>
      </c>
      <c r="D1561" s="340">
        <v>1</v>
      </c>
      <c r="E1561" s="341"/>
      <c r="F1561" s="336">
        <f>D1561*E1561</f>
        <v>0</v>
      </c>
      <c r="G1561" s="73"/>
    </row>
    <row r="1562" spans="1:7" s="9" customFormat="1" x14ac:dyDescent="0.2">
      <c r="A1562" s="234"/>
      <c r="B1562" s="12"/>
      <c r="C1562" s="16"/>
      <c r="D1562" s="45"/>
      <c r="E1562" s="23"/>
      <c r="F1562" s="214"/>
      <c r="G1562" s="73"/>
    </row>
    <row r="1563" spans="1:7" s="9" customFormat="1" ht="15" x14ac:dyDescent="0.2">
      <c r="A1563" s="234" t="s">
        <v>187</v>
      </c>
      <c r="B1563" s="77" t="s">
        <v>15</v>
      </c>
      <c r="C1563" s="16"/>
      <c r="D1563" s="45"/>
      <c r="E1563" s="23"/>
      <c r="F1563" s="214"/>
      <c r="G1563" s="73"/>
    </row>
    <row r="1564" spans="1:7" s="9" customFormat="1" ht="15" x14ac:dyDescent="0.2">
      <c r="A1564" s="234"/>
      <c r="B1564" s="77"/>
      <c r="C1564" s="16"/>
      <c r="D1564" s="45"/>
      <c r="E1564" s="23"/>
      <c r="F1564" s="214"/>
      <c r="G1564" s="73"/>
    </row>
    <row r="1565" spans="1:7" s="9" customFormat="1" ht="38.25" x14ac:dyDescent="0.2">
      <c r="A1565" s="234"/>
      <c r="B1565" s="28" t="s">
        <v>1214</v>
      </c>
      <c r="C1565" s="16"/>
      <c r="D1565" s="45"/>
      <c r="E1565" s="23"/>
      <c r="F1565" s="214"/>
      <c r="G1565" s="73"/>
    </row>
    <row r="1566" spans="1:7" s="9" customFormat="1" ht="51" x14ac:dyDescent="0.2">
      <c r="A1566" s="234"/>
      <c r="B1566" s="28" t="s">
        <v>1215</v>
      </c>
      <c r="C1566" s="16"/>
      <c r="D1566" s="45"/>
      <c r="E1566" s="23"/>
      <c r="F1566" s="214"/>
      <c r="G1566" s="73"/>
    </row>
    <row r="1567" spans="1:7" s="9" customFormat="1" ht="63.75" x14ac:dyDescent="0.2">
      <c r="A1567" s="234"/>
      <c r="B1567" s="28" t="s">
        <v>1216</v>
      </c>
      <c r="C1567" s="16"/>
      <c r="D1567" s="45"/>
      <c r="E1567" s="23"/>
      <c r="F1567" s="214"/>
      <c r="G1567" s="73"/>
    </row>
    <row r="1568" spans="1:7" s="9" customFormat="1" ht="63.75" x14ac:dyDescent="0.2">
      <c r="A1568" s="234"/>
      <c r="B1568" s="28" t="s">
        <v>1206</v>
      </c>
      <c r="C1568" s="16"/>
      <c r="D1568" s="45"/>
      <c r="E1568" s="23"/>
      <c r="F1568" s="214"/>
      <c r="G1568" s="73"/>
    </row>
    <row r="1569" spans="1:7" s="9" customFormat="1" ht="63.75" x14ac:dyDescent="0.2">
      <c r="A1569" s="234"/>
      <c r="B1569" s="20" t="s">
        <v>548</v>
      </c>
      <c r="C1569" s="16"/>
      <c r="D1569" s="45"/>
      <c r="E1569" s="23"/>
      <c r="F1569" s="214"/>
      <c r="G1569" s="73"/>
    </row>
    <row r="1570" spans="1:7" s="9" customFormat="1" ht="38.25" x14ac:dyDescent="0.2">
      <c r="A1570" s="234"/>
      <c r="B1570" s="20" t="s">
        <v>542</v>
      </c>
      <c r="C1570" s="16"/>
      <c r="D1570" s="45"/>
      <c r="E1570" s="23"/>
      <c r="F1570" s="214"/>
      <c r="G1570" s="73"/>
    </row>
    <row r="1571" spans="1:7" s="9" customFormat="1" ht="38.25" x14ac:dyDescent="0.2">
      <c r="A1571" s="234"/>
      <c r="B1571" s="28" t="s">
        <v>543</v>
      </c>
      <c r="C1571" s="16"/>
      <c r="D1571" s="45"/>
      <c r="E1571" s="23"/>
      <c r="F1571" s="214"/>
      <c r="G1571" s="73"/>
    </row>
    <row r="1572" spans="1:7" s="9" customFormat="1" ht="38.25" x14ac:dyDescent="0.2">
      <c r="A1572" s="234"/>
      <c r="B1572" s="36" t="s">
        <v>127</v>
      </c>
      <c r="C1572" s="16"/>
      <c r="D1572" s="45"/>
      <c r="E1572" s="23"/>
      <c r="F1572" s="214"/>
      <c r="G1572" s="73"/>
    </row>
    <row r="1573" spans="1:7" s="9" customFormat="1" x14ac:dyDescent="0.2">
      <c r="A1573" s="234"/>
      <c r="B1573" s="12"/>
      <c r="C1573" s="16"/>
      <c r="D1573" s="45"/>
      <c r="E1573" s="23"/>
      <c r="F1573" s="214"/>
      <c r="G1573" s="73"/>
    </row>
    <row r="1574" spans="1:7" s="9" customFormat="1" x14ac:dyDescent="0.2">
      <c r="A1574" s="244" t="s">
        <v>1217</v>
      </c>
      <c r="B1574" s="12" t="s">
        <v>1218</v>
      </c>
      <c r="C1574" s="16"/>
      <c r="D1574" s="18"/>
      <c r="E1574" s="23"/>
      <c r="F1574" s="214"/>
      <c r="G1574" s="73"/>
    </row>
    <row r="1575" spans="1:7" s="9" customFormat="1" ht="38.25" x14ac:dyDescent="0.2">
      <c r="A1575" s="244"/>
      <c r="B1575" s="28" t="s">
        <v>549</v>
      </c>
      <c r="C1575" s="16"/>
      <c r="D1575" s="18"/>
      <c r="E1575" s="23"/>
      <c r="F1575" s="214"/>
      <c r="G1575" s="73"/>
    </row>
    <row r="1576" spans="1:7" s="9" customFormat="1" x14ac:dyDescent="0.2">
      <c r="A1576" s="244"/>
      <c r="B1576" s="12" t="s">
        <v>1219</v>
      </c>
      <c r="C1576" s="16" t="s">
        <v>31</v>
      </c>
      <c r="D1576" s="45">
        <v>3</v>
      </c>
      <c r="E1576" s="12"/>
      <c r="F1576" s="214">
        <f>D1576*E1576</f>
        <v>0</v>
      </c>
      <c r="G1576" s="73"/>
    </row>
    <row r="1577" spans="1:7" s="9" customFormat="1" x14ac:dyDescent="0.2">
      <c r="A1577" s="244"/>
      <c r="B1577" s="12"/>
      <c r="C1577" s="16"/>
      <c r="D1577" s="45"/>
      <c r="E1577" s="23"/>
      <c r="F1577" s="214"/>
      <c r="G1577" s="73"/>
    </row>
    <row r="1578" spans="1:7" s="9" customFormat="1" x14ac:dyDescent="0.2">
      <c r="A1578" s="244" t="s">
        <v>1220</v>
      </c>
      <c r="B1578" s="12" t="s">
        <v>1221</v>
      </c>
      <c r="C1578" s="16"/>
      <c r="D1578" s="18"/>
      <c r="E1578" s="23"/>
      <c r="F1578" s="214"/>
      <c r="G1578" s="73"/>
    </row>
    <row r="1579" spans="1:7" s="9" customFormat="1" ht="38.25" x14ac:dyDescent="0.2">
      <c r="A1579" s="244"/>
      <c r="B1579" s="28" t="s">
        <v>549</v>
      </c>
      <c r="C1579" s="16"/>
      <c r="D1579" s="18"/>
      <c r="E1579" s="23"/>
      <c r="F1579" s="214"/>
      <c r="G1579" s="73"/>
    </row>
    <row r="1580" spans="1:7" s="9" customFormat="1" x14ac:dyDescent="0.2">
      <c r="A1580" s="234"/>
      <c r="B1580" s="12" t="s">
        <v>1222</v>
      </c>
      <c r="C1580" s="16" t="s">
        <v>31</v>
      </c>
      <c r="D1580" s="45">
        <v>1</v>
      </c>
      <c r="E1580" s="12"/>
      <c r="F1580" s="214">
        <f>D1580*E1580</f>
        <v>0</v>
      </c>
      <c r="G1580" s="73"/>
    </row>
    <row r="1581" spans="1:7" s="9" customFormat="1" x14ac:dyDescent="0.2">
      <c r="A1581" s="234"/>
      <c r="B1581" s="12"/>
      <c r="C1581" s="16"/>
      <c r="D1581" s="45"/>
      <c r="E1581" s="12"/>
      <c r="F1581" s="214"/>
      <c r="G1581" s="73"/>
    </row>
    <row r="1582" spans="1:7" s="9" customFormat="1" x14ac:dyDescent="0.2">
      <c r="A1582" s="244" t="s">
        <v>1498</v>
      </c>
      <c r="B1582" s="12" t="s">
        <v>1223</v>
      </c>
      <c r="C1582" s="16"/>
      <c r="D1582" s="18"/>
      <c r="E1582" s="23"/>
      <c r="F1582" s="214"/>
      <c r="G1582" s="73"/>
    </row>
    <row r="1583" spans="1:7" s="9" customFormat="1" ht="38.25" x14ac:dyDescent="0.2">
      <c r="A1583" s="244"/>
      <c r="B1583" s="28" t="s">
        <v>549</v>
      </c>
      <c r="C1583" s="16"/>
      <c r="D1583" s="18"/>
      <c r="E1583" s="23"/>
      <c r="F1583" s="214"/>
      <c r="G1583" s="73"/>
    </row>
    <row r="1584" spans="1:7" s="9" customFormat="1" ht="13.5" thickBot="1" x14ac:dyDescent="0.25">
      <c r="A1584" s="349"/>
      <c r="B1584" s="341" t="s">
        <v>1224</v>
      </c>
      <c r="C1584" s="318" t="s">
        <v>31</v>
      </c>
      <c r="D1584" s="340">
        <v>1</v>
      </c>
      <c r="E1584" s="341"/>
      <c r="F1584" s="336">
        <f>D1584*E1584</f>
        <v>0</v>
      </c>
      <c r="G1584" s="73"/>
    </row>
    <row r="1585" spans="1:7" s="9" customFormat="1" x14ac:dyDescent="0.2">
      <c r="A1585" s="234"/>
      <c r="B1585" s="12"/>
      <c r="C1585" s="16"/>
      <c r="D1585" s="45"/>
      <c r="E1585" s="23"/>
      <c r="F1585" s="214"/>
      <c r="G1585" s="73"/>
    </row>
    <row r="1586" spans="1:7" s="9" customFormat="1" ht="15" x14ac:dyDescent="0.2">
      <c r="A1586" s="234" t="s">
        <v>188</v>
      </c>
      <c r="B1586" s="37" t="s">
        <v>1225</v>
      </c>
      <c r="C1586" s="16"/>
      <c r="D1586" s="45"/>
      <c r="E1586" s="23"/>
      <c r="F1586" s="214"/>
      <c r="G1586" s="73"/>
    </row>
    <row r="1587" spans="1:7" s="9" customFormat="1" x14ac:dyDescent="0.2">
      <c r="A1587" s="234"/>
      <c r="B1587" s="12"/>
      <c r="C1587" s="16"/>
      <c r="D1587" s="45"/>
      <c r="E1587" s="23"/>
      <c r="F1587" s="214"/>
      <c r="G1587" s="73"/>
    </row>
    <row r="1588" spans="1:7" s="9" customFormat="1" ht="25.5" x14ac:dyDescent="0.2">
      <c r="A1588" s="234"/>
      <c r="B1588" s="28" t="s">
        <v>1226</v>
      </c>
      <c r="C1588" s="16"/>
      <c r="D1588" s="45"/>
      <c r="E1588" s="23"/>
      <c r="F1588" s="214"/>
      <c r="G1588" s="73"/>
    </row>
    <row r="1589" spans="1:7" s="9" customFormat="1" ht="51" x14ac:dyDescent="0.2">
      <c r="A1589" s="234"/>
      <c r="B1589" s="20" t="s">
        <v>1227</v>
      </c>
      <c r="C1589" s="16"/>
      <c r="D1589" s="45"/>
      <c r="E1589" s="23"/>
      <c r="F1589" s="214"/>
      <c r="G1589" s="73"/>
    </row>
    <row r="1590" spans="1:7" s="9" customFormat="1" ht="51" x14ac:dyDescent="0.2">
      <c r="A1590" s="234"/>
      <c r="B1590" s="20" t="s">
        <v>1228</v>
      </c>
      <c r="C1590" s="16"/>
      <c r="D1590" s="45"/>
      <c r="E1590" s="23"/>
      <c r="F1590" s="214"/>
      <c r="G1590" s="73"/>
    </row>
    <row r="1591" spans="1:7" s="9" customFormat="1" ht="51" x14ac:dyDescent="0.2">
      <c r="A1591" s="234"/>
      <c r="B1591" s="20" t="s">
        <v>1229</v>
      </c>
      <c r="C1591" s="16"/>
      <c r="D1591" s="45"/>
      <c r="E1591" s="23"/>
      <c r="F1591" s="214"/>
      <c r="G1591" s="73"/>
    </row>
    <row r="1592" spans="1:7" s="9" customFormat="1" ht="25.5" x14ac:dyDescent="0.2">
      <c r="A1592" s="234"/>
      <c r="B1592" s="20" t="s">
        <v>550</v>
      </c>
      <c r="C1592" s="16"/>
      <c r="D1592" s="45"/>
      <c r="E1592" s="23"/>
      <c r="F1592" s="214"/>
      <c r="G1592" s="73"/>
    </row>
    <row r="1593" spans="1:7" s="9" customFormat="1" ht="38.25" x14ac:dyDescent="0.2">
      <c r="A1593" s="234"/>
      <c r="B1593" s="20" t="s">
        <v>551</v>
      </c>
      <c r="C1593" s="16"/>
      <c r="D1593" s="45"/>
      <c r="E1593" s="23"/>
      <c r="F1593" s="214"/>
      <c r="G1593" s="73"/>
    </row>
    <row r="1594" spans="1:7" s="9" customFormat="1" ht="25.5" x14ac:dyDescent="0.2">
      <c r="A1594" s="234"/>
      <c r="B1594" s="36" t="s">
        <v>552</v>
      </c>
      <c r="C1594" s="16"/>
      <c r="D1594" s="45"/>
      <c r="E1594" s="23"/>
      <c r="F1594" s="214"/>
      <c r="G1594" s="73"/>
    </row>
    <row r="1595" spans="1:7" s="9" customFormat="1" x14ac:dyDescent="0.2">
      <c r="A1595" s="234"/>
      <c r="B1595" s="12"/>
      <c r="C1595" s="16"/>
      <c r="D1595" s="45"/>
      <c r="E1595" s="23"/>
      <c r="F1595" s="214"/>
      <c r="G1595" s="73"/>
    </row>
    <row r="1596" spans="1:7" s="9" customFormat="1" x14ac:dyDescent="0.2">
      <c r="A1596" s="234"/>
      <c r="B1596" s="12" t="s">
        <v>1230</v>
      </c>
      <c r="C1596" s="16"/>
      <c r="D1596" s="18"/>
      <c r="E1596" s="23"/>
      <c r="F1596" s="214"/>
      <c r="G1596" s="73"/>
    </row>
    <row r="1597" spans="1:7" s="9" customFormat="1" x14ac:dyDescent="0.2">
      <c r="A1597" s="234"/>
      <c r="B1597" s="28" t="s">
        <v>553</v>
      </c>
      <c r="C1597" s="16"/>
      <c r="D1597" s="18"/>
      <c r="E1597" s="23"/>
      <c r="F1597" s="214"/>
      <c r="G1597" s="73"/>
    </row>
    <row r="1598" spans="1:7" s="9" customFormat="1" x14ac:dyDescent="0.2">
      <c r="A1598" s="234"/>
      <c r="B1598" s="12" t="s">
        <v>554</v>
      </c>
      <c r="C1598" s="16" t="s">
        <v>31</v>
      </c>
      <c r="D1598" s="45">
        <v>1</v>
      </c>
      <c r="E1598" s="12"/>
      <c r="F1598" s="214">
        <f>D1598*E1598</f>
        <v>0</v>
      </c>
      <c r="G1598" s="73"/>
    </row>
    <row r="1599" spans="1:7" s="9" customFormat="1" x14ac:dyDescent="0.2">
      <c r="A1599" s="234"/>
      <c r="B1599" s="12"/>
      <c r="C1599" s="16"/>
      <c r="D1599" s="45"/>
      <c r="E1599" s="12"/>
      <c r="F1599" s="214"/>
      <c r="G1599" s="73"/>
    </row>
    <row r="1600" spans="1:7" s="9" customFormat="1" ht="15" x14ac:dyDescent="0.2">
      <c r="A1600" s="234" t="s">
        <v>189</v>
      </c>
      <c r="B1600" s="37" t="s">
        <v>1231</v>
      </c>
      <c r="C1600" s="16"/>
      <c r="D1600" s="45"/>
      <c r="E1600" s="23"/>
      <c r="F1600" s="214"/>
      <c r="G1600" s="73"/>
    </row>
    <row r="1601" spans="1:7" s="9" customFormat="1" x14ac:dyDescent="0.2">
      <c r="A1601" s="234"/>
      <c r="B1601" s="12"/>
      <c r="C1601" s="16"/>
      <c r="D1601" s="45"/>
      <c r="E1601" s="12"/>
      <c r="F1601" s="214"/>
      <c r="G1601" s="73"/>
    </row>
    <row r="1602" spans="1:7" s="9" customFormat="1" ht="25.5" x14ac:dyDescent="0.2">
      <c r="A1602" s="234"/>
      <c r="B1602" s="28" t="s">
        <v>1232</v>
      </c>
      <c r="C1602" s="16"/>
      <c r="D1602" s="45"/>
      <c r="E1602" s="23"/>
      <c r="F1602" s="214"/>
      <c r="G1602" s="73"/>
    </row>
    <row r="1603" spans="1:7" s="9" customFormat="1" ht="25.5" x14ac:dyDescent="0.2">
      <c r="A1603" s="234"/>
      <c r="B1603" s="20" t="s">
        <v>1233</v>
      </c>
      <c r="C1603" s="16"/>
      <c r="D1603" s="45"/>
      <c r="E1603" s="23"/>
      <c r="F1603" s="214"/>
      <c r="G1603" s="73"/>
    </row>
    <row r="1604" spans="1:7" s="9" customFormat="1" ht="51" x14ac:dyDescent="0.2">
      <c r="A1604" s="234"/>
      <c r="B1604" s="36" t="s">
        <v>1234</v>
      </c>
      <c r="C1604" s="16"/>
      <c r="D1604" s="45"/>
      <c r="E1604" s="23"/>
      <c r="F1604" s="214"/>
      <c r="G1604" s="73"/>
    </row>
    <row r="1605" spans="1:7" s="9" customFormat="1" ht="51" x14ac:dyDescent="0.2">
      <c r="A1605" s="234"/>
      <c r="B1605" s="20" t="s">
        <v>1235</v>
      </c>
      <c r="C1605" s="16"/>
      <c r="D1605" s="45"/>
      <c r="E1605" s="23"/>
      <c r="F1605" s="214"/>
      <c r="G1605" s="73"/>
    </row>
    <row r="1606" spans="1:7" s="9" customFormat="1" x14ac:dyDescent="0.2">
      <c r="A1606" s="234"/>
      <c r="B1606" s="20"/>
      <c r="C1606" s="16"/>
      <c r="D1606" s="45"/>
      <c r="E1606" s="23"/>
      <c r="F1606" s="214"/>
      <c r="G1606" s="73"/>
    </row>
    <row r="1607" spans="1:7" s="9" customFormat="1" x14ac:dyDescent="0.2">
      <c r="A1607" s="234"/>
      <c r="B1607" s="12" t="s">
        <v>1236</v>
      </c>
      <c r="C1607" s="16"/>
      <c r="D1607" s="18"/>
      <c r="E1607" s="23"/>
      <c r="F1607" s="214"/>
      <c r="G1607" s="73"/>
    </row>
    <row r="1608" spans="1:7" s="9" customFormat="1" x14ac:dyDescent="0.2">
      <c r="A1608" s="234"/>
      <c r="B1608" s="28" t="s">
        <v>853</v>
      </c>
      <c r="C1608" s="16"/>
      <c r="D1608" s="18"/>
      <c r="E1608" s="23"/>
      <c r="F1608" s="214"/>
      <c r="G1608" s="73"/>
    </row>
    <row r="1609" spans="1:7" s="9" customFormat="1" ht="13.5" thickBot="1" x14ac:dyDescent="0.25">
      <c r="A1609" s="346"/>
      <c r="B1609" s="341" t="s">
        <v>1237</v>
      </c>
      <c r="C1609" s="318" t="s">
        <v>31</v>
      </c>
      <c r="D1609" s="340">
        <v>1</v>
      </c>
      <c r="E1609" s="341"/>
      <c r="F1609" s="336">
        <f>D1609*E1609</f>
        <v>0</v>
      </c>
      <c r="G1609" s="73"/>
    </row>
    <row r="1610" spans="1:7" s="9" customFormat="1" x14ac:dyDescent="0.2">
      <c r="A1610" s="234"/>
      <c r="B1610" s="12"/>
      <c r="C1610" s="16"/>
      <c r="D1610" s="45"/>
      <c r="E1610" s="12"/>
      <c r="F1610" s="214"/>
      <c r="G1610" s="73"/>
    </row>
    <row r="1611" spans="1:7" s="9" customFormat="1" ht="15" x14ac:dyDescent="0.2">
      <c r="A1611" s="234" t="s">
        <v>190</v>
      </c>
      <c r="B1611" s="37" t="s">
        <v>1238</v>
      </c>
      <c r="C1611" s="16"/>
      <c r="D1611" s="45"/>
      <c r="E1611" s="23"/>
      <c r="F1611" s="214"/>
      <c r="G1611" s="73"/>
    </row>
    <row r="1612" spans="1:7" s="9" customFormat="1" x14ac:dyDescent="0.2">
      <c r="A1612" s="234"/>
      <c r="B1612" s="12"/>
      <c r="C1612" s="16"/>
      <c r="D1612" s="45"/>
      <c r="E1612" s="23"/>
      <c r="F1612" s="214"/>
      <c r="G1612" s="73"/>
    </row>
    <row r="1613" spans="1:7" s="9" customFormat="1" ht="25.5" x14ac:dyDescent="0.2">
      <c r="A1613" s="234"/>
      <c r="B1613" s="36" t="s">
        <v>1239</v>
      </c>
      <c r="C1613" s="16"/>
      <c r="D1613" s="45"/>
      <c r="E1613" s="23"/>
      <c r="F1613" s="214"/>
      <c r="G1613" s="73"/>
    </row>
    <row r="1614" spans="1:7" s="9" customFormat="1" ht="51" x14ac:dyDescent="0.2">
      <c r="A1614" s="234"/>
      <c r="B1614" s="36" t="s">
        <v>1240</v>
      </c>
      <c r="C1614" s="16"/>
      <c r="D1614" s="45"/>
      <c r="E1614" s="23"/>
      <c r="F1614" s="214"/>
      <c r="G1614" s="73"/>
    </row>
    <row r="1615" spans="1:7" s="9" customFormat="1" ht="38.25" x14ac:dyDescent="0.2">
      <c r="A1615" s="234"/>
      <c r="B1615" s="36" t="s">
        <v>1241</v>
      </c>
      <c r="C1615" s="16"/>
      <c r="D1615" s="45"/>
      <c r="E1615" s="23"/>
      <c r="F1615" s="214"/>
      <c r="G1615" s="73"/>
    </row>
    <row r="1616" spans="1:7" s="9" customFormat="1" ht="51" x14ac:dyDescent="0.2">
      <c r="A1616" s="234"/>
      <c r="B1616" s="36" t="s">
        <v>1242</v>
      </c>
      <c r="C1616" s="16"/>
      <c r="D1616" s="45"/>
      <c r="E1616" s="23"/>
      <c r="F1616" s="214"/>
      <c r="G1616" s="73"/>
    </row>
    <row r="1617" spans="1:7" s="9" customFormat="1" ht="63.75" x14ac:dyDescent="0.2">
      <c r="A1617" s="234"/>
      <c r="B1617" s="36" t="s">
        <v>1243</v>
      </c>
      <c r="C1617" s="16"/>
      <c r="D1617" s="243"/>
      <c r="E1617" s="23"/>
      <c r="F1617" s="214"/>
      <c r="G1617" s="73"/>
    </row>
    <row r="1618" spans="1:7" s="9" customFormat="1" ht="50.25" customHeight="1" x14ac:dyDescent="0.2">
      <c r="A1618" s="234"/>
      <c r="B1618" s="36" t="s">
        <v>1244</v>
      </c>
      <c r="C1618" s="16"/>
      <c r="D1618" s="243"/>
      <c r="E1618" s="23"/>
      <c r="F1618" s="214"/>
      <c r="G1618" s="73"/>
    </row>
    <row r="1619" spans="1:7" s="9" customFormat="1" ht="38.25" x14ac:dyDescent="0.2">
      <c r="A1619" s="234"/>
      <c r="B1619" s="36" t="s">
        <v>1245</v>
      </c>
      <c r="C1619" s="16"/>
      <c r="D1619" s="243"/>
      <c r="E1619" s="23"/>
      <c r="F1619" s="214"/>
      <c r="G1619" s="73"/>
    </row>
    <row r="1620" spans="1:7" s="9" customFormat="1" ht="25.5" x14ac:dyDescent="0.2">
      <c r="A1620" s="234"/>
      <c r="B1620" s="36" t="s">
        <v>130</v>
      </c>
      <c r="C1620" s="16"/>
      <c r="D1620" s="243"/>
      <c r="E1620" s="23"/>
      <c r="F1620" s="214"/>
      <c r="G1620" s="73"/>
    </row>
    <row r="1621" spans="1:7" s="9" customFormat="1" x14ac:dyDescent="0.2">
      <c r="A1621" s="234"/>
      <c r="B1621" s="28"/>
      <c r="C1621" s="16"/>
      <c r="D1621" s="243"/>
      <c r="E1621" s="23"/>
      <c r="F1621" s="214"/>
      <c r="G1621" s="73"/>
    </row>
    <row r="1622" spans="1:7" s="9" customFormat="1" x14ac:dyDescent="0.2">
      <c r="A1622" s="244" t="s">
        <v>1499</v>
      </c>
      <c r="B1622" s="20" t="s">
        <v>129</v>
      </c>
      <c r="C1622" s="16"/>
      <c r="D1622" s="243"/>
      <c r="E1622" s="23"/>
      <c r="F1622" s="214"/>
      <c r="G1622" s="73"/>
    </row>
    <row r="1623" spans="1:7" s="9" customFormat="1" ht="25.5" x14ac:dyDescent="0.2">
      <c r="A1623" s="234"/>
      <c r="B1623" s="28" t="s">
        <v>854</v>
      </c>
      <c r="C1623" s="16"/>
      <c r="D1623" s="243"/>
      <c r="E1623" s="23"/>
      <c r="F1623" s="214"/>
      <c r="G1623" s="73"/>
    </row>
    <row r="1624" spans="1:7" s="9" customFormat="1" x14ac:dyDescent="0.2">
      <c r="A1624" s="234"/>
      <c r="B1624" s="20" t="s">
        <v>172</v>
      </c>
      <c r="C1624" s="16" t="s">
        <v>31</v>
      </c>
      <c r="D1624" s="243">
        <v>1</v>
      </c>
      <c r="E1624" s="20"/>
      <c r="F1624" s="214">
        <f>SUM(D1624*E1624)</f>
        <v>0</v>
      </c>
      <c r="G1624" s="73"/>
    </row>
    <row r="1625" spans="1:7" s="9" customFormat="1" x14ac:dyDescent="0.2">
      <c r="A1625" s="234"/>
      <c r="B1625" s="20"/>
      <c r="C1625" s="16"/>
      <c r="D1625" s="243"/>
      <c r="E1625" s="20"/>
      <c r="F1625" s="214"/>
      <c r="G1625" s="73"/>
    </row>
    <row r="1626" spans="1:7" s="9" customFormat="1" x14ac:dyDescent="0.2">
      <c r="A1626" s="244" t="s">
        <v>1500</v>
      </c>
      <c r="B1626" s="20" t="s">
        <v>112</v>
      </c>
      <c r="C1626" s="16"/>
      <c r="D1626" s="243"/>
      <c r="E1626" s="23"/>
      <c r="F1626" s="214"/>
      <c r="G1626" s="73"/>
    </row>
    <row r="1627" spans="1:7" s="9" customFormat="1" ht="25.5" x14ac:dyDescent="0.2">
      <c r="A1627" s="234"/>
      <c r="B1627" s="28" t="s">
        <v>1246</v>
      </c>
      <c r="C1627" s="16"/>
      <c r="D1627" s="243"/>
      <c r="E1627" s="23"/>
      <c r="F1627" s="214"/>
      <c r="G1627" s="73"/>
    </row>
    <row r="1628" spans="1:7" s="9" customFormat="1" x14ac:dyDescent="0.2">
      <c r="A1628" s="234"/>
      <c r="B1628" s="20" t="s">
        <v>1247</v>
      </c>
      <c r="C1628" s="16" t="s">
        <v>31</v>
      </c>
      <c r="D1628" s="243">
        <v>1</v>
      </c>
      <c r="E1628" s="20"/>
      <c r="F1628" s="214">
        <f>SUM(D1628*E1628)</f>
        <v>0</v>
      </c>
      <c r="G1628" s="73"/>
    </row>
    <row r="1629" spans="1:7" s="9" customFormat="1" x14ac:dyDescent="0.2">
      <c r="A1629" s="234"/>
      <c r="B1629" s="20"/>
      <c r="C1629" s="16"/>
      <c r="D1629" s="243"/>
      <c r="E1629" s="23"/>
      <c r="F1629" s="214"/>
      <c r="G1629" s="73"/>
    </row>
    <row r="1630" spans="1:7" s="9" customFormat="1" x14ac:dyDescent="0.2">
      <c r="A1630" s="244" t="s">
        <v>1501</v>
      </c>
      <c r="B1630" s="20" t="s">
        <v>1450</v>
      </c>
      <c r="C1630" s="16"/>
      <c r="D1630" s="243"/>
      <c r="E1630" s="23"/>
      <c r="F1630" s="214"/>
      <c r="G1630" s="73"/>
    </row>
    <row r="1631" spans="1:7" s="9" customFormat="1" x14ac:dyDescent="0.2">
      <c r="A1631" s="234"/>
      <c r="B1631" s="28" t="s">
        <v>1451</v>
      </c>
      <c r="C1631" s="16"/>
      <c r="D1631" s="243"/>
      <c r="E1631" s="23"/>
      <c r="F1631" s="214"/>
      <c r="G1631" s="73"/>
    </row>
    <row r="1632" spans="1:7" s="9" customFormat="1" x14ac:dyDescent="0.2">
      <c r="A1632" s="234"/>
      <c r="B1632" s="20" t="s">
        <v>851</v>
      </c>
      <c r="C1632" s="16" t="s">
        <v>31</v>
      </c>
      <c r="D1632" s="243">
        <v>2</v>
      </c>
      <c r="E1632" s="20"/>
      <c r="F1632" s="214">
        <f>SUM(D1632*E1632)</f>
        <v>0</v>
      </c>
      <c r="G1632" s="73"/>
    </row>
    <row r="1633" spans="1:7" s="9" customFormat="1" x14ac:dyDescent="0.2">
      <c r="A1633" s="234"/>
      <c r="B1633" s="20"/>
      <c r="C1633" s="16"/>
      <c r="D1633" s="243"/>
      <c r="E1633" s="23"/>
      <c r="F1633" s="214"/>
      <c r="G1633" s="73"/>
    </row>
    <row r="1634" spans="1:7" s="9" customFormat="1" ht="15" x14ac:dyDescent="0.2">
      <c r="A1634" s="234" t="s">
        <v>191</v>
      </c>
      <c r="B1634" s="75" t="s">
        <v>1248</v>
      </c>
      <c r="C1634" s="16"/>
      <c r="D1634" s="245"/>
      <c r="E1634" s="23"/>
      <c r="F1634" s="219"/>
      <c r="G1634" s="73"/>
    </row>
    <row r="1635" spans="1:7" s="9" customFormat="1" ht="15" x14ac:dyDescent="0.2">
      <c r="A1635" s="234"/>
      <c r="B1635" s="75"/>
      <c r="C1635" s="16"/>
      <c r="D1635" s="245"/>
      <c r="E1635" s="23"/>
      <c r="F1635" s="219"/>
      <c r="G1635" s="73"/>
    </row>
    <row r="1636" spans="1:7" s="9" customFormat="1" ht="51.75" thickBot="1" x14ac:dyDescent="0.25">
      <c r="A1636" s="346"/>
      <c r="B1636" s="347" t="s">
        <v>1249</v>
      </c>
      <c r="C1636" s="318"/>
      <c r="D1636" s="350"/>
      <c r="E1636" s="319"/>
      <c r="F1636" s="311"/>
      <c r="G1636" s="73"/>
    </row>
    <row r="1637" spans="1:7" s="9" customFormat="1" x14ac:dyDescent="0.2">
      <c r="A1637" s="234"/>
      <c r="B1637" s="36"/>
      <c r="C1637" s="16"/>
      <c r="D1637" s="245"/>
      <c r="E1637" s="23"/>
      <c r="F1637" s="219"/>
      <c r="G1637" s="73"/>
    </row>
    <row r="1638" spans="1:7" s="9" customFormat="1" ht="76.5" x14ac:dyDescent="0.2">
      <c r="A1638" s="246"/>
      <c r="B1638" s="74" t="s">
        <v>1250</v>
      </c>
      <c r="C1638" s="16"/>
      <c r="D1638" s="245"/>
      <c r="E1638" s="23"/>
      <c r="F1638" s="219"/>
      <c r="G1638" s="73"/>
    </row>
    <row r="1639" spans="1:7" s="9" customFormat="1" ht="51" x14ac:dyDescent="0.2">
      <c r="A1639" s="246"/>
      <c r="B1639" s="74" t="s">
        <v>1251</v>
      </c>
      <c r="C1639" s="16"/>
      <c r="D1639" s="245"/>
      <c r="E1639" s="23"/>
      <c r="F1639" s="219"/>
      <c r="G1639" s="73"/>
    </row>
    <row r="1640" spans="1:7" s="9" customFormat="1" ht="63.75" x14ac:dyDescent="0.2">
      <c r="A1640" s="246"/>
      <c r="B1640" s="74" t="s">
        <v>1252</v>
      </c>
      <c r="C1640" s="16"/>
      <c r="D1640" s="245"/>
      <c r="E1640" s="23"/>
      <c r="F1640" s="219"/>
      <c r="G1640" s="73"/>
    </row>
    <row r="1641" spans="1:7" s="9" customFormat="1" ht="63.75" x14ac:dyDescent="0.2">
      <c r="A1641" s="246"/>
      <c r="B1641" s="74" t="s">
        <v>555</v>
      </c>
      <c r="C1641" s="16"/>
      <c r="D1641" s="245"/>
      <c r="E1641" s="23"/>
      <c r="F1641" s="219"/>
      <c r="G1641" s="73"/>
    </row>
    <row r="1642" spans="1:7" s="9" customFormat="1" ht="63.75" x14ac:dyDescent="0.2">
      <c r="A1642" s="246"/>
      <c r="B1642" s="36" t="s">
        <v>256</v>
      </c>
      <c r="C1642" s="16"/>
      <c r="D1642" s="245"/>
      <c r="E1642" s="23"/>
      <c r="F1642" s="219"/>
      <c r="G1642" s="73"/>
    </row>
    <row r="1643" spans="1:7" s="9" customFormat="1" ht="25.5" x14ac:dyDescent="0.2">
      <c r="A1643" s="246"/>
      <c r="B1643" s="21" t="s">
        <v>131</v>
      </c>
      <c r="C1643" s="16"/>
      <c r="D1643" s="245"/>
      <c r="E1643" s="23"/>
      <c r="F1643" s="219"/>
      <c r="G1643" s="73"/>
    </row>
    <row r="1644" spans="1:7" s="9" customFormat="1" x14ac:dyDescent="0.2">
      <c r="A1644" s="246"/>
      <c r="B1644" s="74"/>
      <c r="C1644" s="16"/>
      <c r="D1644" s="245"/>
      <c r="E1644" s="23"/>
      <c r="F1644" s="219"/>
      <c r="G1644" s="73"/>
    </row>
    <row r="1645" spans="1:7" s="9" customFormat="1" ht="25.5" x14ac:dyDescent="0.2">
      <c r="A1645" s="246"/>
      <c r="B1645" s="20" t="s">
        <v>1253</v>
      </c>
      <c r="C1645" s="16"/>
      <c r="D1645" s="23"/>
      <c r="E1645" s="23"/>
      <c r="F1645" s="214"/>
      <c r="G1645" s="73"/>
    </row>
    <row r="1646" spans="1:7" s="9" customFormat="1" x14ac:dyDescent="0.2">
      <c r="A1646" s="246"/>
      <c r="B1646" s="74" t="s">
        <v>1254</v>
      </c>
      <c r="C1646" s="16" t="s">
        <v>38</v>
      </c>
      <c r="D1646" s="56">
        <f>1.7*4</f>
        <v>6.8</v>
      </c>
      <c r="E1646" s="20"/>
      <c r="F1646" s="219">
        <f>SUM(D1646*E1646)</f>
        <v>0</v>
      </c>
      <c r="G1646" s="73"/>
    </row>
    <row r="1647" spans="1:7" s="9" customFormat="1" x14ac:dyDescent="0.2">
      <c r="A1647" s="246"/>
      <c r="B1647" s="74"/>
      <c r="C1647" s="16"/>
      <c r="D1647" s="56"/>
      <c r="E1647" s="20"/>
      <c r="F1647" s="219"/>
      <c r="G1647" s="73"/>
    </row>
    <row r="1648" spans="1:7" s="9" customFormat="1" ht="15" x14ac:dyDescent="0.2">
      <c r="A1648" s="234" t="s">
        <v>192</v>
      </c>
      <c r="B1648" s="75" t="s">
        <v>1255</v>
      </c>
      <c r="C1648" s="16"/>
      <c r="D1648" s="245"/>
      <c r="E1648" s="23"/>
      <c r="F1648" s="219"/>
      <c r="G1648" s="73"/>
    </row>
    <row r="1649" spans="1:7" s="9" customFormat="1" ht="15" x14ac:dyDescent="0.2">
      <c r="A1649" s="234"/>
      <c r="B1649" s="75"/>
      <c r="C1649" s="16"/>
      <c r="D1649" s="245"/>
      <c r="E1649" s="23"/>
      <c r="F1649" s="219"/>
      <c r="G1649" s="73"/>
    </row>
    <row r="1650" spans="1:7" s="9" customFormat="1" ht="51" x14ac:dyDescent="0.2">
      <c r="A1650" s="234"/>
      <c r="B1650" s="36" t="s">
        <v>1249</v>
      </c>
      <c r="C1650" s="16"/>
      <c r="D1650" s="245"/>
      <c r="E1650" s="23"/>
      <c r="F1650" s="219"/>
      <c r="G1650" s="73"/>
    </row>
    <row r="1651" spans="1:7" s="9" customFormat="1" ht="76.5" x14ac:dyDescent="0.2">
      <c r="A1651" s="246"/>
      <c r="B1651" s="74" t="s">
        <v>1250</v>
      </c>
      <c r="C1651" s="16"/>
      <c r="D1651" s="245"/>
      <c r="E1651" s="23"/>
      <c r="F1651" s="219"/>
      <c r="G1651" s="73"/>
    </row>
    <row r="1652" spans="1:7" s="9" customFormat="1" ht="51.75" thickBot="1" x14ac:dyDescent="0.25">
      <c r="A1652" s="351"/>
      <c r="B1652" s="352" t="s">
        <v>1251</v>
      </c>
      <c r="C1652" s="318"/>
      <c r="D1652" s="350"/>
      <c r="E1652" s="319"/>
      <c r="F1652" s="311"/>
      <c r="G1652" s="73"/>
    </row>
    <row r="1653" spans="1:7" s="9" customFormat="1" x14ac:dyDescent="0.2">
      <c r="A1653" s="246"/>
      <c r="B1653" s="74"/>
      <c r="C1653" s="16"/>
      <c r="D1653" s="245"/>
      <c r="E1653" s="23"/>
      <c r="F1653" s="219"/>
      <c r="G1653" s="73"/>
    </row>
    <row r="1654" spans="1:7" s="9" customFormat="1" ht="63.75" x14ac:dyDescent="0.2">
      <c r="A1654" s="246"/>
      <c r="B1654" s="74" t="s">
        <v>1256</v>
      </c>
      <c r="C1654" s="16"/>
      <c r="D1654" s="245"/>
      <c r="E1654" s="23"/>
      <c r="F1654" s="219"/>
      <c r="G1654" s="73"/>
    </row>
    <row r="1655" spans="1:7" s="9" customFormat="1" ht="63.75" x14ac:dyDescent="0.2">
      <c r="A1655" s="246"/>
      <c r="B1655" s="74" t="s">
        <v>555</v>
      </c>
      <c r="C1655" s="16"/>
      <c r="D1655" s="245"/>
      <c r="E1655" s="23"/>
      <c r="F1655" s="219"/>
      <c r="G1655" s="73"/>
    </row>
    <row r="1656" spans="1:7" s="9" customFormat="1" ht="63.75" x14ac:dyDescent="0.2">
      <c r="A1656" s="246"/>
      <c r="B1656" s="36" t="s">
        <v>256</v>
      </c>
      <c r="C1656" s="16"/>
      <c r="D1656" s="245"/>
      <c r="E1656" s="23"/>
      <c r="F1656" s="219"/>
      <c r="G1656" s="73"/>
    </row>
    <row r="1657" spans="1:7" s="9" customFormat="1" ht="25.5" x14ac:dyDescent="0.2">
      <c r="A1657" s="246"/>
      <c r="B1657" s="21" t="s">
        <v>131</v>
      </c>
      <c r="C1657" s="16"/>
      <c r="D1657" s="245"/>
      <c r="E1657" s="23"/>
      <c r="F1657" s="219"/>
      <c r="G1657" s="73"/>
    </row>
    <row r="1658" spans="1:7" s="9" customFormat="1" x14ac:dyDescent="0.2">
      <c r="A1658" s="246"/>
      <c r="B1658" s="74"/>
      <c r="C1658" s="16"/>
      <c r="D1658" s="245"/>
      <c r="E1658" s="23"/>
      <c r="F1658" s="219"/>
      <c r="G1658" s="73"/>
    </row>
    <row r="1659" spans="1:7" s="9" customFormat="1" ht="25.5" x14ac:dyDescent="0.2">
      <c r="A1659" s="246"/>
      <c r="B1659" s="20" t="s">
        <v>1257</v>
      </c>
      <c r="C1659" s="16"/>
      <c r="D1659" s="23"/>
      <c r="E1659" s="23"/>
      <c r="F1659" s="214"/>
      <c r="G1659" s="73"/>
    </row>
    <row r="1660" spans="1:7" s="9" customFormat="1" x14ac:dyDescent="0.2">
      <c r="A1660" s="246"/>
      <c r="B1660" s="74" t="s">
        <v>1258</v>
      </c>
      <c r="C1660" s="16" t="s">
        <v>38</v>
      </c>
      <c r="D1660" s="56">
        <f>1.74*6</f>
        <v>10.44</v>
      </c>
      <c r="E1660" s="20"/>
      <c r="F1660" s="219">
        <f>SUM(D1660*E1660)</f>
        <v>0</v>
      </c>
      <c r="G1660" s="73"/>
    </row>
    <row r="1661" spans="1:7" s="9" customFormat="1" x14ac:dyDescent="0.2">
      <c r="A1661" s="246"/>
      <c r="B1661" s="74"/>
      <c r="C1661" s="16"/>
      <c r="D1661" s="56"/>
      <c r="E1661" s="20"/>
      <c r="F1661" s="219"/>
      <c r="G1661" s="73"/>
    </row>
    <row r="1662" spans="1:7" s="9" customFormat="1" ht="25.5" x14ac:dyDescent="0.2">
      <c r="A1662" s="246"/>
      <c r="B1662" s="20" t="s">
        <v>1259</v>
      </c>
      <c r="C1662" s="16"/>
      <c r="D1662" s="23"/>
      <c r="E1662" s="23"/>
      <c r="F1662" s="214"/>
      <c r="G1662" s="73"/>
    </row>
    <row r="1663" spans="1:7" s="9" customFormat="1" x14ac:dyDescent="0.2">
      <c r="A1663" s="246"/>
      <c r="B1663" s="74" t="s">
        <v>1260</v>
      </c>
      <c r="C1663" s="16" t="s">
        <v>38</v>
      </c>
      <c r="D1663" s="56">
        <f>0.94*16</f>
        <v>15.04</v>
      </c>
      <c r="E1663" s="20"/>
      <c r="F1663" s="219">
        <f>SUM(D1663*E1663)</f>
        <v>0</v>
      </c>
      <c r="G1663" s="73"/>
    </row>
    <row r="1664" spans="1:7" s="9" customFormat="1" x14ac:dyDescent="0.2">
      <c r="A1664" s="246"/>
      <c r="B1664" s="74"/>
      <c r="C1664" s="16"/>
      <c r="D1664" s="245"/>
      <c r="E1664" s="23"/>
      <c r="F1664" s="219"/>
      <c r="G1664" s="73"/>
    </row>
    <row r="1665" spans="1:7" s="9" customFormat="1" ht="15" x14ac:dyDescent="0.2">
      <c r="A1665" s="234" t="s">
        <v>193</v>
      </c>
      <c r="B1665" s="123" t="s">
        <v>556</v>
      </c>
      <c r="C1665" s="16"/>
      <c r="D1665" s="56"/>
      <c r="E1665" s="23"/>
      <c r="F1665" s="219"/>
      <c r="G1665" s="73"/>
    </row>
    <row r="1666" spans="1:7" s="9" customFormat="1" ht="15" x14ac:dyDescent="0.2">
      <c r="A1666" s="231"/>
      <c r="B1666" s="123"/>
      <c r="C1666" s="16"/>
      <c r="D1666" s="56"/>
      <c r="E1666" s="23"/>
      <c r="F1666" s="219"/>
      <c r="G1666" s="73"/>
    </row>
    <row r="1667" spans="1:7" s="9" customFormat="1" ht="51" x14ac:dyDescent="0.2">
      <c r="A1667" s="234"/>
      <c r="B1667" s="28" t="s">
        <v>1261</v>
      </c>
      <c r="C1667" s="16"/>
      <c r="D1667" s="56"/>
      <c r="E1667" s="23"/>
      <c r="F1667" s="219"/>
      <c r="G1667" s="73"/>
    </row>
    <row r="1668" spans="1:7" s="9" customFormat="1" ht="76.5" x14ac:dyDescent="0.2">
      <c r="A1668" s="246"/>
      <c r="B1668" s="74" t="s">
        <v>1262</v>
      </c>
      <c r="C1668" s="16"/>
      <c r="D1668" s="56"/>
      <c r="E1668" s="23"/>
      <c r="F1668" s="219"/>
      <c r="G1668" s="73"/>
    </row>
    <row r="1669" spans="1:7" s="9" customFormat="1" ht="51" x14ac:dyDescent="0.2">
      <c r="A1669" s="246"/>
      <c r="B1669" s="74" t="s">
        <v>1251</v>
      </c>
      <c r="C1669" s="16"/>
      <c r="D1669" s="56"/>
      <c r="E1669" s="23"/>
      <c r="F1669" s="219"/>
      <c r="G1669" s="73"/>
    </row>
    <row r="1670" spans="1:7" s="9" customFormat="1" ht="63.75" x14ac:dyDescent="0.2">
      <c r="A1670" s="246"/>
      <c r="B1670" s="36" t="s">
        <v>1263</v>
      </c>
      <c r="C1670" s="16"/>
      <c r="D1670" s="56"/>
      <c r="E1670" s="23"/>
      <c r="F1670" s="219"/>
      <c r="G1670" s="73"/>
    </row>
    <row r="1671" spans="1:7" s="9" customFormat="1" ht="64.5" thickBot="1" x14ac:dyDescent="0.25">
      <c r="A1671" s="351"/>
      <c r="B1671" s="352" t="s">
        <v>555</v>
      </c>
      <c r="C1671" s="318"/>
      <c r="D1671" s="353"/>
      <c r="E1671" s="319"/>
      <c r="F1671" s="311"/>
      <c r="G1671" s="73"/>
    </row>
    <row r="1672" spans="1:7" s="9" customFormat="1" x14ac:dyDescent="0.2">
      <c r="A1672" s="246"/>
      <c r="B1672" s="74"/>
      <c r="C1672" s="16"/>
      <c r="D1672" s="56"/>
      <c r="E1672" s="23"/>
      <c r="F1672" s="219"/>
      <c r="G1672" s="73"/>
    </row>
    <row r="1673" spans="1:7" s="9" customFormat="1" ht="63.75" x14ac:dyDescent="0.2">
      <c r="A1673" s="246"/>
      <c r="B1673" s="36" t="s">
        <v>256</v>
      </c>
      <c r="C1673" s="16"/>
      <c r="D1673" s="56"/>
      <c r="E1673" s="23"/>
      <c r="F1673" s="219"/>
      <c r="G1673" s="73"/>
    </row>
    <row r="1674" spans="1:7" s="9" customFormat="1" ht="25.5" x14ac:dyDescent="0.2">
      <c r="A1674" s="246"/>
      <c r="B1674" s="21" t="s">
        <v>131</v>
      </c>
      <c r="C1674" s="16"/>
      <c r="D1674" s="56"/>
      <c r="E1674" s="23"/>
      <c r="F1674" s="219"/>
      <c r="G1674" s="73"/>
    </row>
    <row r="1675" spans="1:7" s="9" customFormat="1" x14ac:dyDescent="0.2">
      <c r="A1675" s="246"/>
      <c r="B1675" s="21"/>
      <c r="C1675" s="16"/>
      <c r="D1675" s="56"/>
      <c r="E1675" s="23"/>
      <c r="F1675" s="219"/>
      <c r="G1675" s="73"/>
    </row>
    <row r="1676" spans="1:7" s="9" customFormat="1" ht="25.5" x14ac:dyDescent="0.2">
      <c r="A1676" s="247" t="s">
        <v>1283</v>
      </c>
      <c r="B1676" s="20" t="s">
        <v>1264</v>
      </c>
      <c r="C1676" s="16"/>
      <c r="D1676" s="23"/>
      <c r="E1676" s="23"/>
      <c r="F1676" s="214"/>
      <c r="G1676" s="73"/>
    </row>
    <row r="1677" spans="1:7" s="9" customFormat="1" x14ac:dyDescent="0.2">
      <c r="A1677" s="246"/>
      <c r="B1677" s="24" t="s">
        <v>1265</v>
      </c>
      <c r="C1677" s="16" t="s">
        <v>38</v>
      </c>
      <c r="D1677" s="56">
        <f>(1.3*2+2.9)*18</f>
        <v>99</v>
      </c>
      <c r="E1677" s="20"/>
      <c r="F1677" s="219">
        <f>SUM(D1677*E1677)</f>
        <v>0</v>
      </c>
      <c r="G1677" s="73"/>
    </row>
    <row r="1678" spans="1:7" s="9" customFormat="1" x14ac:dyDescent="0.2">
      <c r="A1678" s="246"/>
      <c r="B1678" s="74"/>
      <c r="C1678" s="16"/>
      <c r="D1678" s="56"/>
      <c r="E1678" s="23"/>
      <c r="F1678" s="219"/>
      <c r="G1678" s="73"/>
    </row>
    <row r="1679" spans="1:7" s="9" customFormat="1" ht="25.5" x14ac:dyDescent="0.2">
      <c r="A1679" s="247" t="s">
        <v>1502</v>
      </c>
      <c r="B1679" s="20" t="s">
        <v>1266</v>
      </c>
      <c r="C1679" s="16"/>
      <c r="D1679" s="23"/>
      <c r="E1679" s="23"/>
      <c r="F1679" s="214"/>
      <c r="G1679" s="73"/>
    </row>
    <row r="1680" spans="1:7" s="9" customFormat="1" x14ac:dyDescent="0.2">
      <c r="A1680" s="246"/>
      <c r="B1680" s="24" t="s">
        <v>1267</v>
      </c>
      <c r="C1680" s="16" t="s">
        <v>38</v>
      </c>
      <c r="D1680" s="56">
        <f>(0.37*2+2.9)*2</f>
        <v>7.2799999999999994</v>
      </c>
      <c r="E1680" s="20"/>
      <c r="F1680" s="219">
        <f>SUM(D1680*E1680)</f>
        <v>0</v>
      </c>
      <c r="G1680" s="73"/>
    </row>
    <row r="1681" spans="1:7" s="9" customFormat="1" x14ac:dyDescent="0.2">
      <c r="A1681" s="246"/>
      <c r="B1681" s="24"/>
      <c r="C1681" s="16"/>
      <c r="D1681" s="56"/>
      <c r="E1681" s="20"/>
      <c r="F1681" s="219"/>
      <c r="G1681" s="73"/>
    </row>
    <row r="1682" spans="1:7" s="9" customFormat="1" ht="25.5" x14ac:dyDescent="0.2">
      <c r="A1682" s="247" t="s">
        <v>1503</v>
      </c>
      <c r="B1682" s="20" t="s">
        <v>1268</v>
      </c>
      <c r="C1682" s="16"/>
      <c r="D1682" s="20"/>
      <c r="E1682" s="23"/>
      <c r="F1682" s="214"/>
      <c r="G1682" s="73"/>
    </row>
    <row r="1683" spans="1:7" s="9" customFormat="1" x14ac:dyDescent="0.2">
      <c r="A1683" s="246"/>
      <c r="B1683" s="24" t="s">
        <v>557</v>
      </c>
      <c r="C1683" s="16" t="s">
        <v>38</v>
      </c>
      <c r="D1683" s="76">
        <f>2.3*10</f>
        <v>23</v>
      </c>
      <c r="E1683" s="20"/>
      <c r="F1683" s="219">
        <f>SUM(D1683*E1683)</f>
        <v>0</v>
      </c>
      <c r="G1683" s="73"/>
    </row>
    <row r="1684" spans="1:7" s="9" customFormat="1" x14ac:dyDescent="0.2">
      <c r="A1684" s="246"/>
      <c r="B1684" s="74"/>
      <c r="C1684" s="16"/>
      <c r="D1684" s="56"/>
      <c r="E1684" s="23"/>
      <c r="F1684" s="219"/>
      <c r="G1684" s="73"/>
    </row>
    <row r="1685" spans="1:7" s="9" customFormat="1" ht="25.5" x14ac:dyDescent="0.2">
      <c r="A1685" s="247" t="s">
        <v>1506</v>
      </c>
      <c r="B1685" s="20" t="s">
        <v>1269</v>
      </c>
      <c r="C1685" s="16"/>
      <c r="D1685" s="23"/>
      <c r="E1685" s="23"/>
      <c r="F1685" s="214"/>
      <c r="G1685" s="73"/>
    </row>
    <row r="1686" spans="1:7" s="9" customFormat="1" x14ac:dyDescent="0.2">
      <c r="A1686" s="246"/>
      <c r="B1686" s="24" t="s">
        <v>1270</v>
      </c>
      <c r="C1686" s="16" t="s">
        <v>38</v>
      </c>
      <c r="D1686" s="56">
        <f>1.3*10</f>
        <v>13</v>
      </c>
      <c r="E1686" s="20"/>
      <c r="F1686" s="219">
        <f>SUM(D1686*E1686)</f>
        <v>0</v>
      </c>
      <c r="G1686" s="73"/>
    </row>
    <row r="1687" spans="1:7" s="9" customFormat="1" x14ac:dyDescent="0.2">
      <c r="A1687" s="246"/>
      <c r="B1687" s="24"/>
      <c r="C1687" s="16"/>
      <c r="D1687" s="56"/>
      <c r="E1687" s="20"/>
      <c r="F1687" s="219"/>
      <c r="G1687" s="73"/>
    </row>
    <row r="1688" spans="1:7" s="9" customFormat="1" ht="25.5" x14ac:dyDescent="0.2">
      <c r="A1688" s="247" t="s">
        <v>1504</v>
      </c>
      <c r="B1688" s="20" t="s">
        <v>1271</v>
      </c>
      <c r="C1688" s="16"/>
      <c r="D1688" s="23"/>
      <c r="E1688" s="23"/>
      <c r="F1688" s="214"/>
      <c r="G1688" s="73"/>
    </row>
    <row r="1689" spans="1:7" s="9" customFormat="1" x14ac:dyDescent="0.2">
      <c r="A1689" s="246"/>
      <c r="B1689" s="24" t="s">
        <v>1272</v>
      </c>
      <c r="C1689" s="16" t="s">
        <v>38</v>
      </c>
      <c r="D1689" s="56">
        <f>1.16*10</f>
        <v>11.6</v>
      </c>
      <c r="E1689" s="20"/>
      <c r="F1689" s="219">
        <f>SUM(D1689*E1689)</f>
        <v>0</v>
      </c>
      <c r="G1689" s="73"/>
    </row>
    <row r="1690" spans="1:7" s="9" customFormat="1" x14ac:dyDescent="0.2">
      <c r="A1690" s="246"/>
      <c r="B1690" s="24"/>
      <c r="C1690" s="16"/>
      <c r="D1690" s="56"/>
      <c r="E1690" s="20"/>
      <c r="F1690" s="219"/>
      <c r="G1690" s="73"/>
    </row>
    <row r="1691" spans="1:7" s="9" customFormat="1" ht="25.5" x14ac:dyDescent="0.2">
      <c r="A1691" s="247" t="s">
        <v>1505</v>
      </c>
      <c r="B1691" s="20" t="s">
        <v>1274</v>
      </c>
      <c r="C1691" s="16"/>
      <c r="D1691" s="23"/>
      <c r="E1691" s="23"/>
      <c r="F1691" s="214"/>
      <c r="G1691" s="73"/>
    </row>
    <row r="1692" spans="1:7" s="9" customFormat="1" x14ac:dyDescent="0.2">
      <c r="A1692" s="246"/>
      <c r="B1692" s="24" t="s">
        <v>558</v>
      </c>
      <c r="C1692" s="16" t="s">
        <v>38</v>
      </c>
      <c r="D1692" s="56">
        <f>0.8*9</f>
        <v>7.2</v>
      </c>
      <c r="E1692" s="20"/>
      <c r="F1692" s="219">
        <f>SUM(D1692*E1692)</f>
        <v>0</v>
      </c>
      <c r="G1692" s="73"/>
    </row>
    <row r="1693" spans="1:7" s="9" customFormat="1" x14ac:dyDescent="0.2">
      <c r="A1693" s="246"/>
      <c r="B1693" s="24"/>
      <c r="C1693" s="16"/>
      <c r="D1693" s="56"/>
      <c r="E1693" s="20"/>
      <c r="F1693" s="219"/>
      <c r="G1693" s="73"/>
    </row>
    <row r="1694" spans="1:7" s="9" customFormat="1" ht="25.5" x14ac:dyDescent="0.2">
      <c r="A1694" s="247" t="s">
        <v>1273</v>
      </c>
      <c r="B1694" s="20" t="s">
        <v>1275</v>
      </c>
      <c r="C1694" s="16"/>
      <c r="D1694" s="20"/>
      <c r="E1694" s="23"/>
      <c r="F1694" s="214"/>
      <c r="G1694" s="73"/>
    </row>
    <row r="1695" spans="1:7" s="9" customFormat="1" x14ac:dyDescent="0.2">
      <c r="A1695" s="246"/>
      <c r="B1695" s="24" t="s">
        <v>1276</v>
      </c>
      <c r="C1695" s="16" t="s">
        <v>38</v>
      </c>
      <c r="D1695" s="76">
        <f>(0.37+2.9+1.3)*2</f>
        <v>9.14</v>
      </c>
      <c r="E1695" s="20"/>
      <c r="F1695" s="219">
        <f>SUM(D1695*E1695)</f>
        <v>0</v>
      </c>
      <c r="G1695" s="73"/>
    </row>
    <row r="1696" spans="1:7" s="9" customFormat="1" x14ac:dyDescent="0.2">
      <c r="A1696" s="246"/>
      <c r="B1696" s="24"/>
      <c r="C1696" s="16"/>
      <c r="D1696" s="76"/>
      <c r="E1696" s="20"/>
      <c r="F1696" s="219"/>
      <c r="G1696" s="73"/>
    </row>
    <row r="1697" spans="1:7" s="9" customFormat="1" ht="25.5" x14ac:dyDescent="0.2">
      <c r="A1697" s="247" t="s">
        <v>1507</v>
      </c>
      <c r="B1697" s="20" t="s">
        <v>1277</v>
      </c>
      <c r="C1697" s="16"/>
      <c r="D1697" s="20"/>
      <c r="E1697" s="23"/>
      <c r="F1697" s="214"/>
      <c r="G1697" s="73"/>
    </row>
    <row r="1698" spans="1:7" s="9" customFormat="1" x14ac:dyDescent="0.2">
      <c r="A1698" s="246"/>
      <c r="B1698" s="24" t="s">
        <v>1278</v>
      </c>
      <c r="C1698" s="16" t="s">
        <v>38</v>
      </c>
      <c r="D1698" s="76">
        <f>(1.3+2.9+0.37)*2</f>
        <v>9.14</v>
      </c>
      <c r="E1698" s="20"/>
      <c r="F1698" s="219">
        <f>SUM(D1698*E1698)</f>
        <v>0</v>
      </c>
      <c r="G1698" s="73"/>
    </row>
    <row r="1699" spans="1:7" s="9" customFormat="1" x14ac:dyDescent="0.2">
      <c r="A1699" s="246"/>
      <c r="B1699" s="24"/>
      <c r="C1699" s="16"/>
      <c r="D1699" s="56"/>
      <c r="E1699" s="20"/>
      <c r="F1699" s="219"/>
      <c r="G1699" s="73"/>
    </row>
    <row r="1700" spans="1:7" s="9" customFormat="1" ht="15" x14ac:dyDescent="0.2">
      <c r="A1700" s="234" t="s">
        <v>193</v>
      </c>
      <c r="B1700" s="123" t="s">
        <v>1279</v>
      </c>
      <c r="C1700" s="16"/>
      <c r="D1700" s="56"/>
      <c r="E1700" s="23"/>
      <c r="F1700" s="219"/>
      <c r="G1700" s="73"/>
    </row>
    <row r="1701" spans="1:7" s="9" customFormat="1" x14ac:dyDescent="0.2">
      <c r="A1701" s="246"/>
      <c r="B1701" s="24"/>
      <c r="C1701" s="16"/>
      <c r="D1701" s="56"/>
      <c r="E1701" s="20"/>
      <c r="F1701" s="219"/>
      <c r="G1701" s="73"/>
    </row>
    <row r="1702" spans="1:7" s="9" customFormat="1" ht="63.75" x14ac:dyDescent="0.2">
      <c r="A1702" s="234"/>
      <c r="B1702" s="28" t="s">
        <v>1280</v>
      </c>
      <c r="C1702" s="16"/>
      <c r="D1702" s="56"/>
      <c r="E1702" s="23"/>
      <c r="F1702" s="219"/>
      <c r="G1702" s="73"/>
    </row>
    <row r="1703" spans="1:7" s="9" customFormat="1" ht="39" thickBot="1" x14ac:dyDescent="0.25">
      <c r="A1703" s="346"/>
      <c r="B1703" s="332" t="s">
        <v>1281</v>
      </c>
      <c r="C1703" s="318"/>
      <c r="D1703" s="353"/>
      <c r="E1703" s="319"/>
      <c r="F1703" s="311"/>
      <c r="G1703" s="73"/>
    </row>
    <row r="1704" spans="1:7" s="9" customFormat="1" x14ac:dyDescent="0.2">
      <c r="A1704" s="234"/>
      <c r="B1704" s="28"/>
      <c r="C1704" s="16"/>
      <c r="D1704" s="56"/>
      <c r="E1704" s="23"/>
      <c r="F1704" s="219"/>
      <c r="G1704" s="73"/>
    </row>
    <row r="1705" spans="1:7" s="9" customFormat="1" ht="76.5" x14ac:dyDescent="0.2">
      <c r="A1705" s="246"/>
      <c r="B1705" s="74" t="s">
        <v>1262</v>
      </c>
      <c r="C1705" s="16"/>
      <c r="D1705" s="56"/>
      <c r="E1705" s="23"/>
      <c r="F1705" s="219"/>
      <c r="G1705" s="73"/>
    </row>
    <row r="1706" spans="1:7" s="9" customFormat="1" ht="51" x14ac:dyDescent="0.2">
      <c r="A1706" s="246"/>
      <c r="B1706" s="74" t="s">
        <v>1251</v>
      </c>
      <c r="C1706" s="16"/>
      <c r="D1706" s="56"/>
      <c r="E1706" s="23"/>
      <c r="F1706" s="219"/>
      <c r="G1706" s="73"/>
    </row>
    <row r="1707" spans="1:7" s="9" customFormat="1" ht="89.25" x14ac:dyDescent="0.2">
      <c r="A1707" s="246"/>
      <c r="B1707" s="74" t="s">
        <v>1282</v>
      </c>
      <c r="C1707" s="16"/>
      <c r="D1707" s="56"/>
      <c r="E1707" s="23"/>
      <c r="F1707" s="219"/>
      <c r="G1707" s="73"/>
    </row>
    <row r="1708" spans="1:7" s="9" customFormat="1" ht="63.75" x14ac:dyDescent="0.2">
      <c r="A1708" s="246"/>
      <c r="B1708" s="36" t="s">
        <v>256</v>
      </c>
      <c r="C1708" s="16"/>
      <c r="D1708" s="56"/>
      <c r="E1708" s="23"/>
      <c r="F1708" s="219"/>
      <c r="G1708" s="73"/>
    </row>
    <row r="1709" spans="1:7" s="9" customFormat="1" ht="25.5" x14ac:dyDescent="0.2">
      <c r="A1709" s="234"/>
      <c r="B1709" s="36" t="s">
        <v>130</v>
      </c>
      <c r="C1709" s="16"/>
      <c r="D1709" s="243"/>
      <c r="E1709" s="23"/>
      <c r="F1709" s="214"/>
      <c r="G1709" s="73"/>
    </row>
    <row r="1710" spans="1:7" s="9" customFormat="1" x14ac:dyDescent="0.2">
      <c r="A1710" s="234"/>
      <c r="B1710" s="36"/>
      <c r="C1710" s="16"/>
      <c r="D1710" s="243"/>
      <c r="E1710" s="23"/>
      <c r="F1710" s="214"/>
      <c r="G1710" s="73"/>
    </row>
    <row r="1711" spans="1:7" s="9" customFormat="1" x14ac:dyDescent="0.2">
      <c r="A1711" s="244"/>
      <c r="B1711" s="20" t="s">
        <v>1284</v>
      </c>
      <c r="C1711" s="16"/>
      <c r="D1711" s="243"/>
      <c r="E1711" s="23"/>
      <c r="F1711" s="214"/>
      <c r="G1711" s="73"/>
    </row>
    <row r="1712" spans="1:7" s="9" customFormat="1" ht="25.5" x14ac:dyDescent="0.2">
      <c r="A1712" s="234"/>
      <c r="B1712" s="28" t="s">
        <v>1279</v>
      </c>
      <c r="C1712" s="16"/>
      <c r="D1712" s="243"/>
      <c r="E1712" s="23"/>
      <c r="F1712" s="214"/>
      <c r="G1712" s="73"/>
    </row>
    <row r="1713" spans="1:7" s="9" customFormat="1" x14ac:dyDescent="0.2">
      <c r="A1713" s="234"/>
      <c r="B1713" s="20" t="s">
        <v>1285</v>
      </c>
      <c r="C1713" s="16" t="s">
        <v>31</v>
      </c>
      <c r="D1713" s="243">
        <v>9</v>
      </c>
      <c r="E1713" s="20"/>
      <c r="F1713" s="214">
        <f>SUM(D1713*E1713)</f>
        <v>0</v>
      </c>
      <c r="G1713" s="73"/>
    </row>
    <row r="1714" spans="1:7" s="9" customFormat="1" x14ac:dyDescent="0.2">
      <c r="A1714" s="234"/>
      <c r="B1714" s="20"/>
      <c r="C1714" s="16"/>
      <c r="D1714" s="243"/>
      <c r="E1714" s="20"/>
      <c r="F1714" s="214"/>
      <c r="G1714" s="73"/>
    </row>
    <row r="1715" spans="1:7" s="9" customFormat="1" ht="15" x14ac:dyDescent="0.2">
      <c r="A1715" s="234" t="s">
        <v>194</v>
      </c>
      <c r="B1715" s="123" t="s">
        <v>1286</v>
      </c>
      <c r="C1715" s="16"/>
      <c r="D1715" s="56"/>
      <c r="E1715" s="23"/>
      <c r="F1715" s="219"/>
      <c r="G1715" s="73"/>
    </row>
    <row r="1716" spans="1:7" s="9" customFormat="1" x14ac:dyDescent="0.2">
      <c r="A1716" s="246"/>
      <c r="B1716" s="24"/>
      <c r="C1716" s="16"/>
      <c r="D1716" s="56"/>
      <c r="E1716" s="20"/>
      <c r="F1716" s="219"/>
      <c r="G1716" s="73"/>
    </row>
    <row r="1717" spans="1:7" s="9" customFormat="1" ht="38.25" x14ac:dyDescent="0.2">
      <c r="A1717" s="234"/>
      <c r="B1717" s="28" t="s">
        <v>1287</v>
      </c>
      <c r="C1717" s="16"/>
      <c r="D1717" s="56"/>
      <c r="E1717" s="23"/>
      <c r="F1717" s="219"/>
      <c r="G1717" s="73"/>
    </row>
    <row r="1718" spans="1:7" s="9" customFormat="1" ht="76.5" x14ac:dyDescent="0.2">
      <c r="A1718" s="234"/>
      <c r="B1718" s="28" t="s">
        <v>1288</v>
      </c>
      <c r="C1718" s="16"/>
      <c r="D1718" s="56"/>
      <c r="E1718" s="23"/>
      <c r="F1718" s="219"/>
      <c r="G1718" s="73"/>
    </row>
    <row r="1719" spans="1:7" s="9" customFormat="1" ht="38.25" x14ac:dyDescent="0.2">
      <c r="A1719" s="234"/>
      <c r="B1719" s="28" t="s">
        <v>1289</v>
      </c>
      <c r="C1719" s="16"/>
      <c r="D1719" s="56"/>
      <c r="E1719" s="23"/>
      <c r="F1719" s="219"/>
      <c r="G1719" s="73"/>
    </row>
    <row r="1720" spans="1:7" s="9" customFormat="1" ht="77.25" thickBot="1" x14ac:dyDescent="0.25">
      <c r="A1720" s="351"/>
      <c r="B1720" s="352" t="s">
        <v>1262</v>
      </c>
      <c r="C1720" s="318"/>
      <c r="D1720" s="353"/>
      <c r="E1720" s="319"/>
      <c r="F1720" s="311"/>
      <c r="G1720" s="73"/>
    </row>
    <row r="1721" spans="1:7" s="9" customFormat="1" x14ac:dyDescent="0.2">
      <c r="A1721" s="246"/>
      <c r="B1721" s="74"/>
      <c r="C1721" s="16"/>
      <c r="D1721" s="56"/>
      <c r="E1721" s="23"/>
      <c r="F1721" s="219"/>
      <c r="G1721" s="73"/>
    </row>
    <row r="1722" spans="1:7" s="9" customFormat="1" ht="51" x14ac:dyDescent="0.2">
      <c r="A1722" s="246"/>
      <c r="B1722" s="74" t="s">
        <v>1251</v>
      </c>
      <c r="C1722" s="16"/>
      <c r="D1722" s="56"/>
      <c r="E1722" s="23"/>
      <c r="F1722" s="219"/>
      <c r="G1722" s="73"/>
    </row>
    <row r="1723" spans="1:7" s="9" customFormat="1" ht="76.5" x14ac:dyDescent="0.2">
      <c r="A1723" s="246"/>
      <c r="B1723" s="74" t="s">
        <v>1290</v>
      </c>
      <c r="C1723" s="16"/>
      <c r="D1723" s="56"/>
      <c r="E1723" s="23"/>
      <c r="F1723" s="219"/>
      <c r="G1723" s="73"/>
    </row>
    <row r="1724" spans="1:7" s="9" customFormat="1" ht="63.75" x14ac:dyDescent="0.2">
      <c r="A1724" s="246"/>
      <c r="B1724" s="36" t="s">
        <v>256</v>
      </c>
      <c r="C1724" s="16"/>
      <c r="D1724" s="56"/>
      <c r="E1724" s="23"/>
      <c r="F1724" s="219"/>
      <c r="G1724" s="73"/>
    </row>
    <row r="1725" spans="1:7" s="9" customFormat="1" ht="25.5" x14ac:dyDescent="0.2">
      <c r="A1725" s="234"/>
      <c r="B1725" s="36" t="s">
        <v>130</v>
      </c>
      <c r="C1725" s="16"/>
      <c r="D1725" s="243"/>
      <c r="E1725" s="23"/>
      <c r="F1725" s="214"/>
      <c r="G1725" s="73"/>
    </row>
    <row r="1726" spans="1:7" s="9" customFormat="1" x14ac:dyDescent="0.2">
      <c r="A1726" s="234"/>
      <c r="B1726" s="36"/>
      <c r="C1726" s="16"/>
      <c r="D1726" s="243"/>
      <c r="E1726" s="23"/>
      <c r="F1726" s="214"/>
      <c r="G1726" s="73"/>
    </row>
    <row r="1727" spans="1:7" s="9" customFormat="1" x14ac:dyDescent="0.2">
      <c r="A1727" s="234"/>
      <c r="B1727" s="20" t="s">
        <v>1291</v>
      </c>
      <c r="C1727" s="16"/>
      <c r="D1727" s="243"/>
      <c r="E1727" s="23"/>
      <c r="F1727" s="214"/>
      <c r="G1727" s="73"/>
    </row>
    <row r="1728" spans="1:7" s="9" customFormat="1" x14ac:dyDescent="0.2">
      <c r="A1728" s="234"/>
      <c r="B1728" s="28" t="s">
        <v>1292</v>
      </c>
      <c r="C1728" s="16"/>
      <c r="D1728" s="243"/>
      <c r="E1728" s="23"/>
      <c r="F1728" s="214"/>
      <c r="G1728" s="73"/>
    </row>
    <row r="1729" spans="1:7" s="9" customFormat="1" x14ac:dyDescent="0.2">
      <c r="A1729" s="234"/>
      <c r="B1729" s="20" t="s">
        <v>1293</v>
      </c>
      <c r="C1729" s="16" t="s">
        <v>31</v>
      </c>
      <c r="D1729" s="243">
        <v>2</v>
      </c>
      <c r="E1729" s="20"/>
      <c r="F1729" s="214">
        <f>SUM(D1729*E1729)</f>
        <v>0</v>
      </c>
      <c r="G1729" s="73"/>
    </row>
    <row r="1730" spans="1:7" s="9" customFormat="1" x14ac:dyDescent="0.2">
      <c r="A1730" s="246"/>
      <c r="B1730" s="74"/>
      <c r="C1730" s="16"/>
      <c r="D1730" s="56"/>
      <c r="E1730" s="23"/>
      <c r="F1730" s="219"/>
      <c r="G1730" s="73"/>
    </row>
    <row r="1731" spans="1:7" s="9" customFormat="1" ht="15" x14ac:dyDescent="0.2">
      <c r="A1731" s="234" t="s">
        <v>195</v>
      </c>
      <c r="B1731" s="123" t="s">
        <v>1294</v>
      </c>
      <c r="C1731" s="16"/>
      <c r="D1731" s="245"/>
      <c r="E1731" s="23"/>
      <c r="F1731" s="219"/>
      <c r="G1731" s="73"/>
    </row>
    <row r="1732" spans="1:7" s="9" customFormat="1" ht="15" x14ac:dyDescent="0.2">
      <c r="A1732" s="234"/>
      <c r="B1732" s="123"/>
      <c r="C1732" s="16"/>
      <c r="D1732" s="245"/>
      <c r="E1732" s="23"/>
      <c r="F1732" s="219"/>
      <c r="G1732" s="73"/>
    </row>
    <row r="1733" spans="1:7" s="9" customFormat="1" ht="25.5" x14ac:dyDescent="0.2">
      <c r="A1733" s="234"/>
      <c r="B1733" s="28" t="s">
        <v>1295</v>
      </c>
      <c r="C1733" s="16"/>
      <c r="D1733" s="56"/>
      <c r="E1733" s="23"/>
      <c r="F1733" s="219"/>
      <c r="G1733" s="73"/>
    </row>
    <row r="1734" spans="1:7" s="9" customFormat="1" ht="76.5" x14ac:dyDescent="0.2">
      <c r="A1734" s="246"/>
      <c r="B1734" s="74" t="s">
        <v>1296</v>
      </c>
      <c r="C1734" s="16"/>
      <c r="D1734" s="56"/>
      <c r="E1734" s="23"/>
      <c r="F1734" s="219"/>
      <c r="G1734" s="73"/>
    </row>
    <row r="1735" spans="1:7" s="9" customFormat="1" ht="38.25" x14ac:dyDescent="0.2">
      <c r="A1735" s="246"/>
      <c r="B1735" s="36" t="s">
        <v>1297</v>
      </c>
      <c r="C1735" s="16"/>
      <c r="D1735" s="56"/>
      <c r="E1735" s="23"/>
      <c r="F1735" s="219"/>
      <c r="G1735" s="73"/>
    </row>
    <row r="1736" spans="1:7" s="9" customFormat="1" ht="38.25" x14ac:dyDescent="0.2">
      <c r="A1736" s="246"/>
      <c r="B1736" s="36" t="s">
        <v>255</v>
      </c>
      <c r="C1736" s="16"/>
      <c r="D1736" s="56"/>
      <c r="E1736" s="23"/>
      <c r="F1736" s="219"/>
      <c r="G1736" s="73"/>
    </row>
    <row r="1737" spans="1:7" s="9" customFormat="1" x14ac:dyDescent="0.2">
      <c r="A1737" s="246"/>
      <c r="B1737" s="36" t="s">
        <v>173</v>
      </c>
      <c r="C1737" s="16"/>
      <c r="D1737" s="56"/>
      <c r="E1737" s="23"/>
      <c r="F1737" s="219"/>
      <c r="G1737" s="73"/>
    </row>
    <row r="1738" spans="1:7" s="9" customFormat="1" ht="25.5" x14ac:dyDescent="0.2">
      <c r="A1738" s="246"/>
      <c r="B1738" s="20" t="s">
        <v>131</v>
      </c>
      <c r="C1738" s="16"/>
      <c r="D1738" s="56"/>
      <c r="E1738" s="23"/>
      <c r="F1738" s="219"/>
      <c r="G1738" s="73"/>
    </row>
    <row r="1739" spans="1:7" s="9" customFormat="1" x14ac:dyDescent="0.2">
      <c r="A1739" s="246"/>
      <c r="B1739" s="20"/>
      <c r="C1739" s="16"/>
      <c r="D1739" s="56"/>
      <c r="E1739" s="23"/>
      <c r="F1739" s="219"/>
      <c r="G1739" s="73"/>
    </row>
    <row r="1740" spans="1:7" s="9" customFormat="1" ht="25.5" x14ac:dyDescent="0.2">
      <c r="A1740" s="246"/>
      <c r="B1740" s="20" t="s">
        <v>1298</v>
      </c>
      <c r="C1740" s="16"/>
      <c r="D1740" s="23"/>
      <c r="E1740" s="23"/>
      <c r="F1740" s="214"/>
      <c r="G1740" s="73"/>
    </row>
    <row r="1741" spans="1:7" s="9" customFormat="1" ht="13.5" thickBot="1" x14ac:dyDescent="0.25">
      <c r="A1741" s="351"/>
      <c r="B1741" s="352" t="s">
        <v>167</v>
      </c>
      <c r="C1741" s="318" t="s">
        <v>38</v>
      </c>
      <c r="D1741" s="353">
        <f>2.9*5</f>
        <v>14.5</v>
      </c>
      <c r="E1741" s="317"/>
      <c r="F1741" s="311">
        <f>SUM(D1741*E1741)</f>
        <v>0</v>
      </c>
      <c r="G1741" s="73"/>
    </row>
    <row r="1742" spans="1:7" s="9" customFormat="1" x14ac:dyDescent="0.2">
      <c r="A1742" s="246"/>
      <c r="B1742" s="74"/>
      <c r="C1742" s="16"/>
      <c r="D1742" s="56"/>
      <c r="E1742" s="23"/>
      <c r="F1742" s="219"/>
      <c r="G1742" s="73"/>
    </row>
    <row r="1743" spans="1:7" s="9" customFormat="1" ht="15" x14ac:dyDescent="0.2">
      <c r="A1743" s="234" t="s">
        <v>196</v>
      </c>
      <c r="B1743" s="37" t="s">
        <v>174</v>
      </c>
      <c r="C1743" s="16"/>
      <c r="D1743" s="56"/>
      <c r="E1743" s="23"/>
      <c r="F1743" s="219"/>
      <c r="G1743" s="73"/>
    </row>
    <row r="1744" spans="1:7" s="9" customFormat="1" ht="15" x14ac:dyDescent="0.2">
      <c r="A1744" s="234"/>
      <c r="B1744" s="37"/>
      <c r="C1744" s="16"/>
      <c r="D1744" s="56"/>
      <c r="E1744" s="23"/>
      <c r="F1744" s="219"/>
      <c r="G1744" s="73"/>
    </row>
    <row r="1745" spans="1:7" s="9" customFormat="1" ht="51" x14ac:dyDescent="0.2">
      <c r="A1745" s="234"/>
      <c r="B1745" s="28" t="s">
        <v>1299</v>
      </c>
      <c r="C1745" s="16"/>
      <c r="D1745" s="56"/>
      <c r="E1745" s="23"/>
      <c r="F1745" s="219"/>
      <c r="G1745" s="73"/>
    </row>
    <row r="1746" spans="1:7" s="9" customFormat="1" ht="76.5" x14ac:dyDescent="0.2">
      <c r="A1746" s="246"/>
      <c r="B1746" s="74" t="s">
        <v>561</v>
      </c>
      <c r="C1746" s="16"/>
      <c r="D1746" s="56"/>
      <c r="E1746" s="23"/>
      <c r="F1746" s="219"/>
      <c r="G1746" s="73"/>
    </row>
    <row r="1747" spans="1:7" s="9" customFormat="1" ht="76.5" x14ac:dyDescent="0.2">
      <c r="A1747" s="246"/>
      <c r="B1747" s="74" t="s">
        <v>1300</v>
      </c>
      <c r="C1747" s="16"/>
      <c r="D1747" s="56"/>
      <c r="E1747" s="23"/>
      <c r="F1747" s="219"/>
      <c r="G1747" s="73"/>
    </row>
    <row r="1748" spans="1:7" s="9" customFormat="1" ht="51" x14ac:dyDescent="0.2">
      <c r="A1748" s="246"/>
      <c r="B1748" s="74" t="s">
        <v>1251</v>
      </c>
      <c r="C1748" s="16"/>
      <c r="D1748" s="56"/>
      <c r="E1748" s="23"/>
      <c r="F1748" s="219"/>
      <c r="G1748" s="73"/>
    </row>
    <row r="1749" spans="1:7" s="9" customFormat="1" ht="51" x14ac:dyDescent="0.2">
      <c r="A1749" s="246"/>
      <c r="B1749" s="74" t="s">
        <v>562</v>
      </c>
      <c r="C1749" s="16"/>
      <c r="D1749" s="56"/>
      <c r="E1749" s="23"/>
      <c r="F1749" s="219"/>
      <c r="G1749" s="73"/>
    </row>
    <row r="1750" spans="1:7" s="9" customFormat="1" ht="63.75" x14ac:dyDescent="0.2">
      <c r="A1750" s="246"/>
      <c r="B1750" s="74" t="s">
        <v>555</v>
      </c>
      <c r="C1750" s="16"/>
      <c r="D1750" s="56"/>
      <c r="E1750" s="23"/>
      <c r="F1750" s="219"/>
      <c r="G1750" s="73"/>
    </row>
    <row r="1751" spans="1:7" s="9" customFormat="1" ht="25.5" x14ac:dyDescent="0.2">
      <c r="A1751" s="246"/>
      <c r="B1751" s="36" t="s">
        <v>161</v>
      </c>
      <c r="C1751" s="16"/>
      <c r="D1751" s="56"/>
      <c r="E1751" s="23"/>
      <c r="F1751" s="219"/>
      <c r="G1751" s="73"/>
    </row>
    <row r="1752" spans="1:7" s="9" customFormat="1" ht="25.5" x14ac:dyDescent="0.2">
      <c r="A1752" s="246"/>
      <c r="B1752" s="20" t="s">
        <v>131</v>
      </c>
      <c r="C1752" s="16"/>
      <c r="D1752" s="56"/>
      <c r="E1752" s="23"/>
      <c r="F1752" s="219"/>
      <c r="G1752" s="73"/>
    </row>
    <row r="1753" spans="1:7" s="9" customFormat="1" x14ac:dyDescent="0.2">
      <c r="A1753" s="246"/>
      <c r="B1753" s="36"/>
      <c r="C1753" s="16"/>
      <c r="D1753" s="56"/>
      <c r="E1753" s="23"/>
      <c r="F1753" s="219"/>
      <c r="G1753" s="73"/>
    </row>
    <row r="1754" spans="1:7" s="9" customFormat="1" ht="25.5" x14ac:dyDescent="0.2">
      <c r="A1754" s="246"/>
      <c r="B1754" s="20" t="s">
        <v>768</v>
      </c>
      <c r="C1754" s="16"/>
      <c r="D1754" s="56"/>
      <c r="E1754" s="23"/>
      <c r="F1754" s="219"/>
      <c r="G1754" s="73"/>
    </row>
    <row r="1755" spans="1:7" s="9" customFormat="1" ht="13.5" thickBot="1" x14ac:dyDescent="0.25">
      <c r="A1755" s="351"/>
      <c r="B1755" s="352" t="s">
        <v>1301</v>
      </c>
      <c r="C1755" s="318" t="s">
        <v>38</v>
      </c>
      <c r="D1755" s="353">
        <f>2.87*4*2+0.1*2*4+1.48</f>
        <v>25.240000000000002</v>
      </c>
      <c r="E1755" s="317"/>
      <c r="F1755" s="311">
        <f>SUM(D1755*E1755)</f>
        <v>0</v>
      </c>
      <c r="G1755" s="73"/>
    </row>
    <row r="1756" spans="1:7" s="9" customFormat="1" x14ac:dyDescent="0.2">
      <c r="A1756" s="246"/>
      <c r="B1756" s="74"/>
      <c r="C1756" s="16"/>
      <c r="D1756" s="56"/>
      <c r="E1756" s="20"/>
      <c r="F1756" s="219"/>
      <c r="G1756" s="73"/>
    </row>
    <row r="1757" spans="1:7" s="9" customFormat="1" ht="15" x14ac:dyDescent="0.2">
      <c r="A1757" s="234" t="s">
        <v>197</v>
      </c>
      <c r="B1757" s="37" t="s">
        <v>1302</v>
      </c>
      <c r="C1757" s="16"/>
      <c r="D1757" s="56"/>
      <c r="E1757" s="23"/>
      <c r="F1757" s="219"/>
      <c r="G1757" s="73"/>
    </row>
    <row r="1758" spans="1:7" s="9" customFormat="1" x14ac:dyDescent="0.2">
      <c r="A1758" s="246"/>
      <c r="B1758" s="74"/>
      <c r="C1758" s="16"/>
      <c r="D1758" s="56"/>
      <c r="E1758" s="20"/>
      <c r="F1758" s="219"/>
      <c r="G1758" s="73"/>
    </row>
    <row r="1759" spans="1:7" s="9" customFormat="1" ht="38.25" x14ac:dyDescent="0.2">
      <c r="A1759" s="234"/>
      <c r="B1759" s="28" t="s">
        <v>1303</v>
      </c>
      <c r="C1759" s="16"/>
      <c r="D1759" s="56"/>
      <c r="E1759" s="23"/>
      <c r="F1759" s="219"/>
      <c r="G1759" s="73"/>
    </row>
    <row r="1760" spans="1:7" s="9" customFormat="1" ht="127.5" x14ac:dyDescent="0.2">
      <c r="A1760" s="246"/>
      <c r="B1760" s="74" t="s">
        <v>1304</v>
      </c>
      <c r="C1760" s="16"/>
      <c r="D1760" s="56"/>
      <c r="E1760" s="23"/>
      <c r="F1760" s="219"/>
      <c r="G1760" s="73"/>
    </row>
    <row r="1761" spans="1:11" s="9" customFormat="1" ht="76.5" x14ac:dyDescent="0.2">
      <c r="A1761" s="246"/>
      <c r="B1761" s="74" t="s">
        <v>1305</v>
      </c>
      <c r="C1761" s="16"/>
      <c r="D1761" s="56"/>
      <c r="E1761" s="23"/>
      <c r="F1761" s="219"/>
      <c r="G1761" s="73"/>
    </row>
    <row r="1762" spans="1:11" s="9" customFormat="1" ht="51" x14ac:dyDescent="0.2">
      <c r="A1762" s="246"/>
      <c r="B1762" s="74" t="s">
        <v>1306</v>
      </c>
      <c r="C1762" s="16"/>
      <c r="D1762" s="56"/>
      <c r="E1762" s="20"/>
      <c r="F1762" s="219"/>
      <c r="G1762" s="73"/>
    </row>
    <row r="1763" spans="1:11" s="9" customFormat="1" ht="63.75" x14ac:dyDescent="0.2">
      <c r="A1763" s="246"/>
      <c r="B1763" s="36" t="s">
        <v>256</v>
      </c>
      <c r="C1763" s="16"/>
      <c r="D1763" s="56"/>
      <c r="E1763" s="23"/>
      <c r="F1763" s="219"/>
      <c r="G1763" s="73"/>
    </row>
    <row r="1764" spans="1:11" s="9" customFormat="1" x14ac:dyDescent="0.2">
      <c r="A1764" s="246"/>
      <c r="B1764" s="36"/>
      <c r="C1764" s="16"/>
      <c r="D1764" s="56"/>
      <c r="E1764" s="23"/>
      <c r="F1764" s="219"/>
      <c r="G1764" s="73"/>
    </row>
    <row r="1765" spans="1:11" s="9" customFormat="1" ht="25.5" x14ac:dyDescent="0.2">
      <c r="A1765" s="246"/>
      <c r="B1765" s="20" t="s">
        <v>1307</v>
      </c>
      <c r="C1765" s="16"/>
      <c r="D1765" s="56"/>
      <c r="E1765" s="23"/>
      <c r="F1765" s="219"/>
      <c r="G1765" s="73"/>
    </row>
    <row r="1766" spans="1:11" s="9" customFormat="1" x14ac:dyDescent="0.2">
      <c r="A1766" s="246"/>
      <c r="B1766" s="74" t="s">
        <v>1308</v>
      </c>
      <c r="C1766" s="16" t="s">
        <v>38</v>
      </c>
      <c r="D1766" s="56">
        <f>32.7*1</f>
        <v>32.700000000000003</v>
      </c>
      <c r="E1766" s="20"/>
      <c r="F1766" s="219">
        <f>SUM(D1766*E1766)</f>
        <v>0</v>
      </c>
      <c r="G1766" s="73"/>
    </row>
    <row r="1767" spans="1:11" s="82" customFormat="1" x14ac:dyDescent="0.2">
      <c r="A1767" s="246"/>
      <c r="B1767" s="74"/>
      <c r="C1767" s="16"/>
      <c r="D1767" s="56"/>
      <c r="E1767" s="23"/>
      <c r="F1767" s="219"/>
      <c r="G1767" s="73"/>
      <c r="H1767" s="9"/>
      <c r="I1767" s="9"/>
      <c r="J1767" s="9"/>
      <c r="K1767" s="9"/>
    </row>
    <row r="1768" spans="1:11" s="82" customFormat="1" ht="15" x14ac:dyDescent="0.2">
      <c r="A1768" s="234" t="s">
        <v>198</v>
      </c>
      <c r="B1768" s="37" t="s">
        <v>566</v>
      </c>
      <c r="C1768" s="16"/>
      <c r="D1768" s="245"/>
      <c r="E1768" s="23"/>
      <c r="F1768" s="219"/>
      <c r="G1768" s="73"/>
      <c r="H1768" s="9"/>
      <c r="I1768" s="9"/>
      <c r="J1768" s="9"/>
      <c r="K1768" s="9"/>
    </row>
    <row r="1769" spans="1:11" s="82" customFormat="1" ht="15" x14ac:dyDescent="0.2">
      <c r="A1769" s="234"/>
      <c r="B1769" s="198"/>
      <c r="C1769" s="16"/>
      <c r="D1769" s="245"/>
      <c r="E1769" s="23"/>
      <c r="F1769" s="219"/>
      <c r="G1769" s="73"/>
      <c r="H1769" s="9"/>
      <c r="I1769" s="9"/>
      <c r="J1769" s="9"/>
      <c r="K1769" s="9"/>
    </row>
    <row r="1770" spans="1:11" s="82" customFormat="1" ht="51" x14ac:dyDescent="0.2">
      <c r="A1770" s="234"/>
      <c r="B1770" s="171" t="s">
        <v>1309</v>
      </c>
      <c r="C1770" s="16"/>
      <c r="D1770" s="245"/>
      <c r="E1770" s="23"/>
      <c r="F1770" s="219"/>
      <c r="G1770" s="73"/>
      <c r="H1770" s="9"/>
      <c r="I1770" s="9"/>
      <c r="J1770" s="9"/>
      <c r="K1770" s="9"/>
    </row>
    <row r="1771" spans="1:11" s="82" customFormat="1" ht="51" x14ac:dyDescent="0.2">
      <c r="A1771" s="246"/>
      <c r="B1771" s="162" t="s">
        <v>1310</v>
      </c>
      <c r="C1771" s="16"/>
      <c r="D1771" s="245"/>
      <c r="E1771" s="23"/>
      <c r="F1771" s="219"/>
      <c r="G1771" s="73"/>
      <c r="H1771" s="9"/>
      <c r="I1771" s="9"/>
      <c r="J1771" s="9"/>
      <c r="K1771" s="9"/>
    </row>
    <row r="1772" spans="1:11" s="82" customFormat="1" ht="25.5" x14ac:dyDescent="0.2">
      <c r="A1772" s="246"/>
      <c r="B1772" s="162" t="s">
        <v>1311</v>
      </c>
      <c r="C1772" s="16"/>
      <c r="D1772" s="245"/>
      <c r="E1772" s="23"/>
      <c r="F1772" s="219"/>
      <c r="G1772" s="73"/>
      <c r="H1772" s="9"/>
      <c r="I1772" s="9"/>
      <c r="J1772" s="9"/>
      <c r="K1772" s="9"/>
    </row>
    <row r="1773" spans="1:11" s="82" customFormat="1" ht="39" thickBot="1" x14ac:dyDescent="0.25">
      <c r="A1773" s="351"/>
      <c r="B1773" s="354" t="s">
        <v>1312</v>
      </c>
      <c r="C1773" s="318"/>
      <c r="D1773" s="350"/>
      <c r="E1773" s="319"/>
      <c r="F1773" s="311"/>
      <c r="G1773" s="73"/>
      <c r="H1773" s="9"/>
      <c r="I1773" s="9"/>
      <c r="J1773" s="9"/>
      <c r="K1773" s="9"/>
    </row>
    <row r="1774" spans="1:11" s="82" customFormat="1" x14ac:dyDescent="0.2">
      <c r="A1774" s="246"/>
      <c r="B1774" s="162"/>
      <c r="C1774" s="16"/>
      <c r="D1774" s="245"/>
      <c r="E1774" s="23"/>
      <c r="F1774" s="219"/>
      <c r="G1774" s="73"/>
      <c r="H1774" s="9"/>
      <c r="I1774" s="9"/>
      <c r="J1774" s="9"/>
      <c r="K1774" s="9"/>
    </row>
    <row r="1775" spans="1:11" s="82" customFormat="1" ht="38.25" x14ac:dyDescent="0.2">
      <c r="A1775" s="246"/>
      <c r="B1775" s="162" t="s">
        <v>1313</v>
      </c>
      <c r="C1775" s="16"/>
      <c r="D1775" s="245"/>
      <c r="E1775" s="23"/>
      <c r="F1775" s="219"/>
      <c r="G1775" s="73"/>
      <c r="H1775" s="9"/>
      <c r="I1775" s="9"/>
      <c r="J1775" s="9"/>
      <c r="K1775" s="9"/>
    </row>
    <row r="1776" spans="1:11" s="82" customFormat="1" ht="63.75" x14ac:dyDescent="0.2">
      <c r="A1776" s="246"/>
      <c r="B1776" s="10" t="s">
        <v>1314</v>
      </c>
      <c r="C1776" s="16"/>
      <c r="D1776" s="245"/>
      <c r="E1776" s="23"/>
      <c r="F1776" s="219"/>
      <c r="G1776" s="73"/>
      <c r="H1776" s="9"/>
      <c r="I1776" s="9"/>
      <c r="J1776" s="9"/>
      <c r="K1776" s="9"/>
    </row>
    <row r="1777" spans="1:11" s="82" customFormat="1" ht="51" x14ac:dyDescent="0.2">
      <c r="A1777" s="246"/>
      <c r="B1777" s="65" t="s">
        <v>563</v>
      </c>
      <c r="C1777" s="16"/>
      <c r="D1777" s="245"/>
      <c r="E1777" s="23"/>
      <c r="F1777" s="219"/>
      <c r="G1777" s="73"/>
      <c r="H1777" s="9"/>
      <c r="I1777" s="9"/>
      <c r="J1777" s="9"/>
      <c r="K1777" s="9"/>
    </row>
    <row r="1778" spans="1:11" s="82" customFormat="1" ht="25.5" x14ac:dyDescent="0.2">
      <c r="A1778" s="246"/>
      <c r="B1778" s="203" t="s">
        <v>564</v>
      </c>
      <c r="C1778" s="16"/>
      <c r="D1778" s="245"/>
      <c r="E1778" s="23"/>
      <c r="F1778" s="219"/>
      <c r="G1778" s="73"/>
      <c r="H1778" s="9"/>
      <c r="I1778" s="9"/>
      <c r="J1778" s="9"/>
      <c r="K1778" s="9"/>
    </row>
    <row r="1779" spans="1:11" s="82" customFormat="1" ht="25.5" x14ac:dyDescent="0.2">
      <c r="A1779" s="246"/>
      <c r="B1779" s="204" t="s">
        <v>565</v>
      </c>
      <c r="C1779" s="16"/>
      <c r="D1779" s="245"/>
      <c r="E1779" s="23"/>
      <c r="F1779" s="219"/>
      <c r="G1779" s="73"/>
      <c r="H1779" s="9"/>
      <c r="I1779" s="9"/>
      <c r="J1779" s="9"/>
      <c r="K1779" s="9"/>
    </row>
    <row r="1780" spans="1:11" s="82" customFormat="1" x14ac:dyDescent="0.2">
      <c r="A1780" s="246"/>
      <c r="B1780" s="36"/>
      <c r="C1780" s="16"/>
      <c r="D1780" s="245"/>
      <c r="E1780" s="23"/>
      <c r="F1780" s="219"/>
      <c r="G1780" s="73"/>
      <c r="H1780" s="9"/>
      <c r="I1780" s="9"/>
      <c r="J1780" s="9"/>
      <c r="K1780" s="9"/>
    </row>
    <row r="1781" spans="1:11" s="82" customFormat="1" x14ac:dyDescent="0.2">
      <c r="A1781" s="246"/>
      <c r="B1781" s="72" t="s">
        <v>111</v>
      </c>
      <c r="C1781" s="22"/>
      <c r="D1781" s="38"/>
      <c r="E1781" s="23"/>
      <c r="F1781" s="214"/>
      <c r="G1781" s="73"/>
      <c r="H1781" s="9"/>
      <c r="I1781" s="9"/>
      <c r="J1781" s="9"/>
      <c r="K1781" s="9"/>
    </row>
    <row r="1782" spans="1:11" x14ac:dyDescent="0.2">
      <c r="A1782" s="246"/>
      <c r="B1782" s="205" t="s">
        <v>568</v>
      </c>
      <c r="C1782" s="22"/>
      <c r="D1782" s="38"/>
      <c r="E1782" s="23"/>
      <c r="F1782" s="214"/>
      <c r="G1782" s="73"/>
      <c r="H1782" s="9"/>
      <c r="I1782" s="9"/>
      <c r="J1782" s="9"/>
      <c r="K1782" s="9"/>
    </row>
    <row r="1783" spans="1:11" x14ac:dyDescent="0.2">
      <c r="A1783" s="246"/>
      <c r="B1783" s="28" t="s">
        <v>567</v>
      </c>
      <c r="C1783" s="22" t="s">
        <v>31</v>
      </c>
      <c r="D1783" s="38">
        <v>5</v>
      </c>
      <c r="E1783" s="20"/>
      <c r="F1783" s="219">
        <f>SUM(D1783*E1783)</f>
        <v>0</v>
      </c>
      <c r="G1783" s="73"/>
      <c r="H1783" s="9"/>
      <c r="I1783" s="9"/>
      <c r="J1783" s="9"/>
      <c r="K1783" s="9"/>
    </row>
    <row r="1784" spans="1:11" s="82" customFormat="1" x14ac:dyDescent="0.2">
      <c r="A1784" s="246"/>
      <c r="B1784" s="28"/>
      <c r="C1784" s="22"/>
      <c r="D1784" s="38"/>
      <c r="E1784" s="23"/>
      <c r="F1784" s="219"/>
      <c r="G1784" s="73"/>
      <c r="H1784" s="9"/>
      <c r="I1784" s="9"/>
      <c r="J1784" s="9"/>
      <c r="K1784" s="9"/>
    </row>
    <row r="1785" spans="1:11" ht="15" x14ac:dyDescent="0.2">
      <c r="A1785" s="234" t="s">
        <v>569</v>
      </c>
      <c r="B1785" s="37" t="s">
        <v>1315</v>
      </c>
      <c r="C1785" s="22"/>
      <c r="D1785" s="38"/>
      <c r="E1785" s="23"/>
      <c r="F1785" s="214"/>
      <c r="G1785" s="73"/>
      <c r="H1785" s="9"/>
      <c r="I1785" s="9"/>
      <c r="J1785" s="9"/>
      <c r="K1785" s="9"/>
    </row>
    <row r="1786" spans="1:11" ht="15" x14ac:dyDescent="0.2">
      <c r="A1786" s="244"/>
      <c r="B1786" s="37"/>
      <c r="C1786" s="22"/>
      <c r="D1786" s="38"/>
      <c r="E1786" s="23"/>
      <c r="F1786" s="214"/>
      <c r="G1786" s="73"/>
      <c r="H1786" s="9"/>
      <c r="I1786" s="9"/>
      <c r="J1786" s="9"/>
      <c r="K1786" s="9"/>
    </row>
    <row r="1787" spans="1:11" ht="51" x14ac:dyDescent="0.2">
      <c r="A1787" s="234"/>
      <c r="B1787" s="28" t="s">
        <v>1316</v>
      </c>
      <c r="C1787" s="22"/>
      <c r="D1787" s="38"/>
      <c r="E1787" s="23"/>
      <c r="F1787" s="214"/>
      <c r="G1787" s="73"/>
      <c r="H1787" s="9"/>
      <c r="I1787" s="9"/>
      <c r="J1787" s="9"/>
      <c r="K1787" s="9"/>
    </row>
    <row r="1788" spans="1:11" ht="38.25" x14ac:dyDescent="0.2">
      <c r="A1788" s="234"/>
      <c r="B1788" s="28" t="s">
        <v>1317</v>
      </c>
      <c r="C1788" s="22"/>
      <c r="D1788" s="38"/>
      <c r="E1788" s="23"/>
      <c r="F1788" s="214"/>
      <c r="G1788" s="73"/>
      <c r="H1788" s="9"/>
      <c r="I1788" s="9"/>
      <c r="J1788" s="9"/>
      <c r="K1788" s="9"/>
    </row>
    <row r="1789" spans="1:11" ht="25.5" x14ac:dyDescent="0.2">
      <c r="A1789" s="234"/>
      <c r="B1789" s="28" t="s">
        <v>1318</v>
      </c>
      <c r="C1789" s="16"/>
      <c r="D1789" s="248"/>
      <c r="E1789" s="23"/>
      <c r="F1789" s="214"/>
      <c r="G1789" s="73"/>
      <c r="H1789" s="9"/>
      <c r="I1789" s="9"/>
      <c r="J1789" s="9"/>
      <c r="K1789" s="9"/>
    </row>
    <row r="1790" spans="1:11" ht="51" x14ac:dyDescent="0.2">
      <c r="A1790" s="234"/>
      <c r="B1790" s="28" t="s">
        <v>1319</v>
      </c>
      <c r="C1790" s="16"/>
      <c r="D1790" s="248"/>
      <c r="E1790" s="23"/>
      <c r="F1790" s="214"/>
      <c r="G1790" s="73"/>
      <c r="H1790" s="9"/>
      <c r="I1790" s="9"/>
      <c r="J1790" s="9"/>
      <c r="K1790" s="9"/>
    </row>
    <row r="1791" spans="1:11" ht="89.25" x14ac:dyDescent="0.2">
      <c r="A1791" s="231"/>
      <c r="B1791" s="28" t="s">
        <v>559</v>
      </c>
      <c r="C1791" s="16"/>
      <c r="D1791" s="248"/>
      <c r="E1791" s="23"/>
      <c r="F1791" s="214"/>
      <c r="G1791" s="73"/>
      <c r="H1791" s="9"/>
      <c r="I1791" s="9"/>
      <c r="J1791" s="9"/>
      <c r="K1791" s="9"/>
    </row>
    <row r="1792" spans="1:11" x14ac:dyDescent="0.2">
      <c r="A1792" s="231"/>
      <c r="B1792" s="36" t="s">
        <v>96</v>
      </c>
      <c r="C1792" s="16"/>
      <c r="D1792" s="248"/>
      <c r="E1792" s="23"/>
      <c r="F1792" s="214"/>
      <c r="G1792" s="73"/>
      <c r="H1792" s="9"/>
      <c r="I1792" s="9"/>
      <c r="J1792" s="9"/>
      <c r="K1792" s="9"/>
    </row>
    <row r="1793" spans="1:11" x14ac:dyDescent="0.2">
      <c r="A1793" s="232"/>
      <c r="B1793" s="74"/>
      <c r="C1793" s="16"/>
      <c r="D1793" s="245"/>
      <c r="E1793" s="23"/>
      <c r="F1793" s="219"/>
      <c r="G1793" s="73"/>
      <c r="H1793" s="9"/>
      <c r="I1793" s="9"/>
      <c r="J1793" s="9"/>
      <c r="K1793" s="9"/>
    </row>
    <row r="1794" spans="1:11" x14ac:dyDescent="0.2">
      <c r="A1794" s="231"/>
      <c r="B1794" s="72" t="s">
        <v>767</v>
      </c>
      <c r="C1794" s="22"/>
      <c r="D1794" s="38"/>
      <c r="E1794" s="23"/>
      <c r="F1794" s="214"/>
      <c r="G1794" s="73"/>
      <c r="H1794" s="9"/>
      <c r="I1794" s="9"/>
      <c r="J1794" s="9"/>
      <c r="K1794" s="9"/>
    </row>
    <row r="1795" spans="1:11" x14ac:dyDescent="0.2">
      <c r="A1795" s="231"/>
      <c r="B1795" s="72" t="s">
        <v>243</v>
      </c>
      <c r="C1795" s="22"/>
      <c r="D1795" s="38"/>
      <c r="E1795" s="23"/>
      <c r="F1795" s="214"/>
      <c r="G1795" s="73"/>
      <c r="H1795" s="9"/>
      <c r="I1795" s="9"/>
      <c r="J1795" s="9"/>
      <c r="K1795" s="9"/>
    </row>
    <row r="1796" spans="1:11" ht="13.5" thickBot="1" x14ac:dyDescent="0.25">
      <c r="A1796" s="342"/>
      <c r="B1796" s="332" t="s">
        <v>560</v>
      </c>
      <c r="C1796" s="333" t="s">
        <v>31</v>
      </c>
      <c r="D1796" s="334">
        <v>1</v>
      </c>
      <c r="E1796" s="317"/>
      <c r="F1796" s="311">
        <f>SUM(D1796*E1796)</f>
        <v>0</v>
      </c>
      <c r="G1796" s="73"/>
      <c r="H1796" s="9"/>
      <c r="I1796" s="9"/>
      <c r="J1796" s="9"/>
      <c r="K1796" s="9"/>
    </row>
    <row r="1797" spans="1:11" x14ac:dyDescent="0.2">
      <c r="A1797" s="232"/>
      <c r="B1797" s="28"/>
      <c r="C1797" s="22"/>
      <c r="D1797" s="38"/>
      <c r="E1797" s="20"/>
      <c r="F1797" s="219"/>
      <c r="G1797" s="73"/>
      <c r="H1797" s="9"/>
      <c r="I1797" s="9"/>
      <c r="J1797" s="9"/>
      <c r="K1797" s="9"/>
    </row>
    <row r="1798" spans="1:11" ht="15" x14ac:dyDescent="0.2">
      <c r="A1798" s="234" t="s">
        <v>1331</v>
      </c>
      <c r="B1798" s="37" t="s">
        <v>1321</v>
      </c>
      <c r="C1798" s="22"/>
      <c r="D1798" s="38"/>
      <c r="E1798" s="23"/>
      <c r="F1798" s="214"/>
      <c r="G1798" s="73"/>
      <c r="H1798" s="9"/>
      <c r="I1798" s="9"/>
      <c r="J1798" s="9"/>
      <c r="K1798" s="9"/>
    </row>
    <row r="1799" spans="1:11" x14ac:dyDescent="0.2">
      <c r="A1799" s="232"/>
      <c r="B1799" s="28"/>
      <c r="C1799" s="22"/>
      <c r="D1799" s="38"/>
      <c r="E1799" s="20"/>
      <c r="F1799" s="219"/>
      <c r="G1799" s="73"/>
      <c r="H1799" s="9"/>
      <c r="I1799" s="9"/>
      <c r="J1799" s="9"/>
      <c r="K1799" s="9"/>
    </row>
    <row r="1800" spans="1:11" ht="63.75" x14ac:dyDescent="0.2">
      <c r="A1800" s="234"/>
      <c r="B1800" s="28" t="s">
        <v>1322</v>
      </c>
      <c r="C1800" s="22"/>
      <c r="D1800" s="38"/>
      <c r="E1800" s="23"/>
      <c r="F1800" s="214"/>
      <c r="G1800" s="73"/>
      <c r="H1800" s="9"/>
      <c r="I1800" s="9"/>
      <c r="J1800" s="9"/>
      <c r="K1800" s="9"/>
    </row>
    <row r="1801" spans="1:11" ht="76.5" x14ac:dyDescent="0.2">
      <c r="A1801" s="234"/>
      <c r="B1801" s="28" t="s">
        <v>1323</v>
      </c>
      <c r="C1801" s="22"/>
      <c r="D1801" s="38"/>
      <c r="E1801" s="23"/>
      <c r="F1801" s="214"/>
      <c r="G1801" s="73"/>
      <c r="H1801" s="9"/>
      <c r="I1801" s="9"/>
      <c r="J1801" s="9"/>
      <c r="K1801" s="9"/>
    </row>
    <row r="1802" spans="1:11" ht="51" x14ac:dyDescent="0.2">
      <c r="A1802" s="234"/>
      <c r="B1802" s="28" t="s">
        <v>1324</v>
      </c>
      <c r="C1802" s="22"/>
      <c r="D1802" s="38"/>
      <c r="E1802" s="23"/>
      <c r="F1802" s="214"/>
      <c r="G1802" s="73"/>
      <c r="H1802" s="9"/>
      <c r="I1802" s="9"/>
      <c r="J1802" s="9"/>
      <c r="K1802" s="9"/>
    </row>
    <row r="1803" spans="1:11" ht="38.25" x14ac:dyDescent="0.2">
      <c r="A1803" s="234"/>
      <c r="B1803" s="28" t="s">
        <v>1325</v>
      </c>
      <c r="C1803" s="22"/>
      <c r="D1803" s="38"/>
      <c r="E1803" s="23"/>
      <c r="F1803" s="214"/>
      <c r="G1803" s="73"/>
      <c r="H1803" s="9"/>
      <c r="I1803" s="9"/>
      <c r="J1803" s="9"/>
      <c r="K1803" s="9"/>
    </row>
    <row r="1804" spans="1:11" ht="63.75" x14ac:dyDescent="0.2">
      <c r="A1804" s="234"/>
      <c r="B1804" s="28" t="s">
        <v>1326</v>
      </c>
      <c r="C1804" s="22"/>
      <c r="D1804" s="38"/>
      <c r="E1804" s="23"/>
      <c r="F1804" s="214"/>
      <c r="G1804" s="73"/>
      <c r="H1804" s="9"/>
      <c r="I1804" s="9"/>
      <c r="J1804" s="9"/>
      <c r="K1804" s="9"/>
    </row>
    <row r="1805" spans="1:11" ht="38.25" x14ac:dyDescent="0.2">
      <c r="A1805" s="234"/>
      <c r="B1805" s="28" t="s">
        <v>1327</v>
      </c>
      <c r="C1805" s="22"/>
      <c r="D1805" s="38"/>
      <c r="E1805" s="23"/>
      <c r="F1805" s="214"/>
      <c r="G1805" s="73"/>
      <c r="H1805" s="9"/>
      <c r="I1805" s="9"/>
      <c r="J1805" s="9"/>
      <c r="K1805" s="9"/>
    </row>
    <row r="1806" spans="1:11" ht="38.25" x14ac:dyDescent="0.2">
      <c r="A1806" s="234"/>
      <c r="B1806" s="28" t="s">
        <v>1328</v>
      </c>
      <c r="C1806" s="22"/>
      <c r="D1806" s="38"/>
      <c r="E1806" s="23"/>
      <c r="F1806" s="214"/>
      <c r="G1806" s="73"/>
      <c r="H1806" s="9"/>
      <c r="I1806" s="9"/>
      <c r="J1806" s="9"/>
      <c r="K1806" s="9"/>
    </row>
    <row r="1807" spans="1:11" ht="25.5" x14ac:dyDescent="0.2">
      <c r="A1807" s="234"/>
      <c r="B1807" s="28" t="s">
        <v>1318</v>
      </c>
      <c r="C1807" s="16"/>
      <c r="D1807" s="248"/>
      <c r="E1807" s="23"/>
      <c r="F1807" s="214"/>
      <c r="G1807" s="73"/>
      <c r="H1807" s="9"/>
      <c r="I1807" s="9"/>
      <c r="J1807" s="9"/>
      <c r="K1807" s="9"/>
    </row>
    <row r="1808" spans="1:11" x14ac:dyDescent="0.2">
      <c r="A1808" s="231"/>
      <c r="B1808" s="36" t="s">
        <v>96</v>
      </c>
      <c r="C1808" s="16"/>
      <c r="D1808" s="248"/>
      <c r="E1808" s="23"/>
      <c r="F1808" s="214"/>
      <c r="G1808" s="73"/>
      <c r="H1808" s="9"/>
      <c r="I1808" s="9"/>
      <c r="J1808" s="9"/>
      <c r="K1808" s="9"/>
    </row>
    <row r="1809" spans="1:11" x14ac:dyDescent="0.2">
      <c r="A1809" s="231"/>
      <c r="B1809" s="36"/>
      <c r="C1809" s="16"/>
      <c r="D1809" s="248"/>
      <c r="E1809" s="23"/>
      <c r="F1809" s="214"/>
      <c r="G1809" s="73"/>
      <c r="H1809" s="9"/>
      <c r="I1809" s="9"/>
      <c r="J1809" s="9"/>
      <c r="K1809" s="9"/>
    </row>
    <row r="1810" spans="1:11" x14ac:dyDescent="0.2">
      <c r="A1810" s="231"/>
      <c r="B1810" s="72" t="s">
        <v>1329</v>
      </c>
      <c r="C1810" s="22"/>
      <c r="D1810" s="38"/>
      <c r="E1810" s="23"/>
      <c r="F1810" s="214"/>
      <c r="G1810" s="73"/>
      <c r="H1810" s="9"/>
      <c r="I1810" s="9"/>
      <c r="J1810" s="9"/>
      <c r="K1810" s="9"/>
    </row>
    <row r="1811" spans="1:11" x14ac:dyDescent="0.2">
      <c r="A1811" s="231"/>
      <c r="B1811" s="72" t="s">
        <v>1330</v>
      </c>
      <c r="C1811" s="22"/>
      <c r="D1811" s="38"/>
      <c r="E1811" s="23"/>
      <c r="F1811" s="214"/>
      <c r="G1811" s="73"/>
      <c r="H1811" s="9"/>
      <c r="I1811" s="9"/>
      <c r="J1811" s="9"/>
      <c r="K1811" s="9"/>
    </row>
    <row r="1812" spans="1:11" x14ac:dyDescent="0.2">
      <c r="A1812" s="232"/>
      <c r="B1812" s="28" t="s">
        <v>560</v>
      </c>
      <c r="C1812" s="22" t="s">
        <v>31</v>
      </c>
      <c r="D1812" s="38">
        <v>1</v>
      </c>
      <c r="E1812" s="20"/>
      <c r="F1812" s="219">
        <f>SUM(D1812*E1812)</f>
        <v>0</v>
      </c>
      <c r="G1812" s="73"/>
      <c r="H1812" s="9"/>
      <c r="I1812" s="9"/>
      <c r="J1812" s="9"/>
      <c r="K1812" s="9"/>
    </row>
    <row r="1813" spans="1:11" x14ac:dyDescent="0.2">
      <c r="A1813" s="232"/>
      <c r="B1813" s="28"/>
      <c r="C1813" s="22"/>
      <c r="D1813" s="38"/>
      <c r="E1813" s="23"/>
      <c r="F1813" s="219"/>
      <c r="G1813" s="73"/>
      <c r="H1813" s="9"/>
      <c r="I1813" s="9"/>
      <c r="J1813" s="9"/>
      <c r="K1813" s="9"/>
    </row>
    <row r="1814" spans="1:11" ht="15" x14ac:dyDescent="0.2">
      <c r="A1814" s="234" t="s">
        <v>1320</v>
      </c>
      <c r="B1814" s="249" t="s">
        <v>1332</v>
      </c>
      <c r="C1814" s="22"/>
      <c r="D1814" s="38"/>
      <c r="E1814" s="23"/>
      <c r="F1814" s="219"/>
      <c r="G1814" s="73"/>
      <c r="H1814" s="9"/>
      <c r="I1814" s="9"/>
      <c r="J1814" s="9"/>
      <c r="K1814" s="9"/>
    </row>
    <row r="1815" spans="1:11" x14ac:dyDescent="0.2">
      <c r="A1815" s="234"/>
      <c r="B1815" s="28"/>
      <c r="C1815" s="22"/>
      <c r="D1815" s="38"/>
      <c r="E1815" s="23"/>
      <c r="F1815" s="219"/>
      <c r="G1815" s="73"/>
      <c r="H1815" s="9"/>
      <c r="I1815" s="9"/>
      <c r="J1815" s="9"/>
      <c r="K1815" s="9"/>
    </row>
    <row r="1816" spans="1:11" s="82" customFormat="1" ht="38.25" x14ac:dyDescent="0.2">
      <c r="A1816" s="234"/>
      <c r="B1816" s="20" t="s">
        <v>1333</v>
      </c>
      <c r="C1816" s="25"/>
      <c r="D1816" s="69"/>
      <c r="E1816" s="23"/>
      <c r="F1816" s="242"/>
      <c r="G1816" s="73"/>
      <c r="H1816" s="9"/>
      <c r="I1816" s="9"/>
      <c r="J1816" s="9"/>
      <c r="K1816" s="9"/>
    </row>
    <row r="1817" spans="1:11" s="82" customFormat="1" ht="25.5" x14ac:dyDescent="0.2">
      <c r="A1817" s="234"/>
      <c r="B1817" s="20" t="s">
        <v>1334</v>
      </c>
      <c r="C1817" s="25"/>
      <c r="D1817" s="69"/>
      <c r="E1817" s="23"/>
      <c r="F1817" s="242"/>
      <c r="G1817" s="73"/>
      <c r="H1817" s="9"/>
      <c r="I1817" s="9"/>
      <c r="J1817" s="9"/>
      <c r="K1817" s="9"/>
    </row>
    <row r="1818" spans="1:11" s="82" customFormat="1" ht="38.25" x14ac:dyDescent="0.2">
      <c r="A1818" s="234"/>
      <c r="B1818" s="20" t="s">
        <v>177</v>
      </c>
      <c r="C1818" s="25"/>
      <c r="D1818" s="69"/>
      <c r="E1818" s="23"/>
      <c r="F1818" s="242"/>
      <c r="G1818" s="73"/>
      <c r="H1818" s="9"/>
      <c r="I1818" s="9"/>
      <c r="J1818" s="9"/>
      <c r="K1818" s="9"/>
    </row>
    <row r="1819" spans="1:11" s="82" customFormat="1" ht="13.5" thickBot="1" x14ac:dyDescent="0.25">
      <c r="A1819" s="306"/>
      <c r="B1819" s="341" t="s">
        <v>5</v>
      </c>
      <c r="C1819" s="327"/>
      <c r="D1819" s="344"/>
      <c r="E1819" s="319"/>
      <c r="F1819" s="345"/>
      <c r="G1819" s="73"/>
      <c r="H1819" s="9"/>
      <c r="I1819" s="9"/>
      <c r="J1819" s="9"/>
      <c r="K1819" s="9"/>
    </row>
    <row r="1820" spans="1:11" s="82" customFormat="1" x14ac:dyDescent="0.2">
      <c r="A1820" s="213"/>
      <c r="B1820" s="12"/>
      <c r="C1820" s="25"/>
      <c r="D1820" s="69"/>
      <c r="E1820" s="23"/>
      <c r="F1820" s="242"/>
      <c r="G1820" s="73"/>
      <c r="H1820" s="9"/>
      <c r="I1820" s="9"/>
      <c r="J1820" s="9"/>
      <c r="K1820" s="9"/>
    </row>
    <row r="1821" spans="1:11" s="82" customFormat="1" x14ac:dyDescent="0.2">
      <c r="A1821" s="213"/>
      <c r="B1821" s="20" t="s">
        <v>764</v>
      </c>
      <c r="C1821" s="25"/>
      <c r="D1821" s="69"/>
      <c r="E1821" s="23"/>
      <c r="F1821" s="242"/>
      <c r="G1821" s="73"/>
      <c r="H1821" s="9"/>
      <c r="I1821" s="9"/>
      <c r="J1821" s="9"/>
      <c r="K1821" s="9"/>
    </row>
    <row r="1822" spans="1:11" s="82" customFormat="1" x14ac:dyDescent="0.2">
      <c r="A1822" s="213"/>
      <c r="B1822" s="12" t="s">
        <v>154</v>
      </c>
      <c r="C1822" s="27" t="s">
        <v>31</v>
      </c>
      <c r="D1822" s="222">
        <v>1</v>
      </c>
      <c r="E1822" s="12"/>
      <c r="F1822" s="215">
        <f>E1822*D1822</f>
        <v>0</v>
      </c>
      <c r="G1822" s="73"/>
      <c r="H1822" s="9"/>
      <c r="I1822" s="9"/>
      <c r="J1822" s="9"/>
      <c r="K1822" s="9"/>
    </row>
    <row r="1823" spans="1:11" s="82" customFormat="1" x14ac:dyDescent="0.2">
      <c r="A1823" s="213"/>
      <c r="B1823" s="12"/>
      <c r="C1823" s="27"/>
      <c r="D1823" s="222"/>
      <c r="E1823" s="23"/>
      <c r="F1823" s="215"/>
      <c r="G1823" s="73"/>
      <c r="H1823" s="9"/>
      <c r="I1823" s="9"/>
      <c r="J1823" s="9"/>
      <c r="K1823" s="9"/>
    </row>
    <row r="1824" spans="1:11" s="82" customFormat="1" ht="15" x14ac:dyDescent="0.2">
      <c r="A1824" s="234" t="s">
        <v>1339</v>
      </c>
      <c r="B1824" s="37" t="s">
        <v>1335</v>
      </c>
      <c r="C1824" s="27"/>
      <c r="D1824" s="222"/>
      <c r="E1824" s="23"/>
      <c r="F1824" s="215"/>
      <c r="G1824" s="73"/>
      <c r="H1824" s="9"/>
      <c r="I1824" s="9"/>
      <c r="J1824" s="9"/>
      <c r="K1824" s="9"/>
    </row>
    <row r="1825" spans="1:11" s="82" customFormat="1" x14ac:dyDescent="0.2">
      <c r="A1825" s="213"/>
      <c r="B1825" s="12"/>
      <c r="C1825" s="27"/>
      <c r="D1825" s="222"/>
      <c r="E1825" s="23"/>
      <c r="F1825" s="215"/>
      <c r="G1825" s="73"/>
      <c r="H1825" s="9"/>
      <c r="I1825" s="9"/>
      <c r="J1825" s="9"/>
      <c r="K1825" s="9"/>
    </row>
    <row r="1826" spans="1:11" s="82" customFormat="1" ht="38.25" x14ac:dyDescent="0.2">
      <c r="A1826" s="234"/>
      <c r="B1826" s="28" t="s">
        <v>166</v>
      </c>
      <c r="C1826" s="22"/>
      <c r="D1826" s="38"/>
      <c r="E1826" s="23"/>
      <c r="F1826" s="215"/>
      <c r="G1826" s="73"/>
      <c r="H1826" s="9"/>
      <c r="I1826" s="9"/>
      <c r="J1826" s="9"/>
      <c r="K1826" s="9"/>
    </row>
    <row r="1827" spans="1:11" s="82" customFormat="1" ht="38.25" x14ac:dyDescent="0.2">
      <c r="A1827" s="246"/>
      <c r="B1827" s="28" t="s">
        <v>204</v>
      </c>
      <c r="C1827" s="22"/>
      <c r="D1827" s="38"/>
      <c r="E1827" s="23"/>
      <c r="F1827" s="215"/>
      <c r="G1827" s="73"/>
      <c r="H1827" s="9"/>
      <c r="I1827" s="9"/>
      <c r="J1827" s="9"/>
      <c r="K1827" s="9"/>
    </row>
    <row r="1828" spans="1:11" s="82" customFormat="1" ht="51" x14ac:dyDescent="0.2">
      <c r="A1828" s="246"/>
      <c r="B1828" s="28" t="s">
        <v>245</v>
      </c>
      <c r="C1828" s="22"/>
      <c r="D1828" s="38"/>
      <c r="E1828" s="23"/>
      <c r="F1828" s="215"/>
      <c r="G1828" s="73"/>
      <c r="H1828" s="9"/>
      <c r="I1828" s="9"/>
      <c r="J1828" s="9"/>
      <c r="K1828" s="9"/>
    </row>
    <row r="1829" spans="1:11" s="82" customFormat="1" x14ac:dyDescent="0.2">
      <c r="A1829" s="246"/>
      <c r="B1829" s="36" t="s">
        <v>98</v>
      </c>
      <c r="C1829" s="22"/>
      <c r="D1829" s="38"/>
      <c r="E1829" s="23"/>
      <c r="F1829" s="215"/>
      <c r="G1829" s="73"/>
      <c r="H1829" s="9"/>
      <c r="I1829" s="9"/>
      <c r="J1829" s="9"/>
      <c r="K1829" s="9"/>
    </row>
    <row r="1830" spans="1:11" s="82" customFormat="1" x14ac:dyDescent="0.2">
      <c r="A1830" s="246"/>
      <c r="B1830" s="36"/>
      <c r="C1830" s="22"/>
      <c r="D1830" s="38"/>
      <c r="E1830" s="23"/>
      <c r="F1830" s="215"/>
      <c r="G1830" s="73"/>
      <c r="H1830" s="9"/>
      <c r="I1830" s="9"/>
      <c r="J1830" s="9"/>
      <c r="K1830" s="9"/>
    </row>
    <row r="1831" spans="1:11" s="82" customFormat="1" x14ac:dyDescent="0.2">
      <c r="A1831" s="246"/>
      <c r="B1831" s="20" t="s">
        <v>692</v>
      </c>
      <c r="C1831" s="16"/>
      <c r="D1831" s="38"/>
      <c r="E1831" s="23"/>
      <c r="F1831" s="215"/>
      <c r="G1831" s="73"/>
      <c r="H1831" s="9"/>
      <c r="I1831" s="9"/>
      <c r="J1831" s="9"/>
      <c r="K1831" s="9"/>
    </row>
    <row r="1832" spans="1:11" s="82" customFormat="1" x14ac:dyDescent="0.2">
      <c r="A1832" s="246"/>
      <c r="B1832" s="20" t="s">
        <v>1336</v>
      </c>
      <c r="C1832" s="16" t="s">
        <v>31</v>
      </c>
      <c r="D1832" s="38">
        <v>1</v>
      </c>
      <c r="E1832" s="12"/>
      <c r="F1832" s="215">
        <f>+D1832*E1832</f>
        <v>0</v>
      </c>
      <c r="G1832" s="73"/>
      <c r="H1832" s="9"/>
      <c r="I1832" s="9"/>
      <c r="J1832" s="9"/>
      <c r="K1832" s="9"/>
    </row>
    <row r="1833" spans="1:11" s="82" customFormat="1" x14ac:dyDescent="0.2">
      <c r="A1833" s="246"/>
      <c r="B1833" s="20"/>
      <c r="C1833" s="16"/>
      <c r="D1833" s="38"/>
      <c r="E1833" s="12"/>
      <c r="F1833" s="215"/>
      <c r="G1833" s="73"/>
      <c r="H1833" s="9"/>
      <c r="I1833" s="9"/>
      <c r="J1833" s="9"/>
      <c r="K1833" s="9"/>
    </row>
    <row r="1834" spans="1:11" s="82" customFormat="1" x14ac:dyDescent="0.2">
      <c r="A1834" s="246"/>
      <c r="B1834" s="20" t="s">
        <v>1337</v>
      </c>
      <c r="C1834" s="16"/>
      <c r="D1834" s="38"/>
      <c r="E1834" s="23"/>
      <c r="F1834" s="215"/>
      <c r="G1834" s="73"/>
      <c r="H1834" s="9"/>
      <c r="I1834" s="9"/>
      <c r="J1834" s="9"/>
      <c r="K1834" s="9"/>
    </row>
    <row r="1835" spans="1:11" s="82" customFormat="1" x14ac:dyDescent="0.2">
      <c r="A1835" s="246"/>
      <c r="B1835" s="20" t="s">
        <v>1338</v>
      </c>
      <c r="C1835" s="16" t="s">
        <v>31</v>
      </c>
      <c r="D1835" s="38">
        <v>1</v>
      </c>
      <c r="E1835" s="12"/>
      <c r="F1835" s="215">
        <f>+D1835*E1835</f>
        <v>0</v>
      </c>
      <c r="G1835" s="73"/>
      <c r="H1835" s="9"/>
      <c r="I1835" s="9"/>
      <c r="J1835" s="9"/>
      <c r="K1835" s="9"/>
    </row>
    <row r="1836" spans="1:11" s="82" customFormat="1" x14ac:dyDescent="0.2">
      <c r="A1836" s="246"/>
      <c r="B1836" s="20"/>
      <c r="C1836" s="16"/>
      <c r="D1836" s="38"/>
      <c r="E1836" s="12"/>
      <c r="F1836" s="215"/>
      <c r="G1836" s="73"/>
      <c r="H1836" s="9"/>
      <c r="I1836" s="9"/>
      <c r="J1836" s="9"/>
      <c r="K1836" s="9"/>
    </row>
    <row r="1837" spans="1:11" s="82" customFormat="1" ht="15" x14ac:dyDescent="0.2">
      <c r="A1837" s="234" t="s">
        <v>1508</v>
      </c>
      <c r="B1837" s="37" t="s">
        <v>765</v>
      </c>
      <c r="C1837" s="27"/>
      <c r="D1837" s="222"/>
      <c r="E1837" s="23"/>
      <c r="F1837" s="215"/>
      <c r="G1837" s="73"/>
      <c r="H1837" s="9"/>
      <c r="I1837" s="9"/>
      <c r="J1837" s="9"/>
      <c r="K1837" s="9"/>
    </row>
    <row r="1838" spans="1:11" s="82" customFormat="1" x14ac:dyDescent="0.2">
      <c r="A1838" s="246"/>
      <c r="B1838" s="20"/>
      <c r="C1838" s="16"/>
      <c r="D1838" s="38"/>
      <c r="E1838" s="12"/>
      <c r="F1838" s="215"/>
      <c r="G1838" s="73"/>
      <c r="H1838" s="9"/>
      <c r="I1838" s="9"/>
      <c r="J1838" s="9"/>
      <c r="K1838" s="9"/>
    </row>
    <row r="1839" spans="1:11" s="82" customFormat="1" ht="63.75" x14ac:dyDescent="0.2">
      <c r="A1839" s="234"/>
      <c r="B1839" s="28" t="s">
        <v>1340</v>
      </c>
      <c r="C1839" s="22"/>
      <c r="D1839" s="38"/>
      <c r="E1839" s="23"/>
      <c r="F1839" s="215"/>
      <c r="G1839" s="73"/>
      <c r="H1839" s="9"/>
      <c r="I1839" s="9"/>
      <c r="J1839" s="9"/>
      <c r="K1839" s="9"/>
    </row>
    <row r="1840" spans="1:11" s="82" customFormat="1" ht="51" x14ac:dyDescent="0.2">
      <c r="A1840" s="246"/>
      <c r="B1840" s="28" t="s">
        <v>1341</v>
      </c>
      <c r="C1840" s="22"/>
      <c r="D1840" s="38"/>
      <c r="E1840" s="23"/>
      <c r="F1840" s="215"/>
      <c r="G1840" s="73"/>
      <c r="H1840" s="9"/>
      <c r="I1840" s="9"/>
      <c r="J1840" s="9"/>
      <c r="K1840" s="9"/>
    </row>
    <row r="1841" spans="1:11" s="82" customFormat="1" ht="25.5" x14ac:dyDescent="0.2">
      <c r="A1841" s="246"/>
      <c r="B1841" s="28" t="s">
        <v>1342</v>
      </c>
      <c r="C1841" s="22"/>
      <c r="D1841" s="38"/>
      <c r="E1841" s="23"/>
      <c r="F1841" s="215"/>
      <c r="G1841" s="73"/>
      <c r="H1841" s="9"/>
      <c r="I1841" s="9"/>
      <c r="J1841" s="9"/>
      <c r="K1841" s="9"/>
    </row>
    <row r="1842" spans="1:11" s="82" customFormat="1" x14ac:dyDescent="0.2">
      <c r="A1842" s="246"/>
      <c r="B1842" s="36" t="s">
        <v>98</v>
      </c>
      <c r="C1842" s="22"/>
      <c r="D1842" s="38"/>
      <c r="E1842" s="23"/>
      <c r="F1842" s="215"/>
      <c r="G1842" s="73"/>
      <c r="H1842" s="9"/>
      <c r="I1842" s="9"/>
      <c r="J1842" s="9"/>
      <c r="K1842" s="9"/>
    </row>
    <row r="1843" spans="1:11" s="82" customFormat="1" x14ac:dyDescent="0.2">
      <c r="A1843" s="246"/>
      <c r="B1843" s="28"/>
      <c r="C1843" s="22"/>
      <c r="D1843" s="38"/>
      <c r="E1843" s="23"/>
      <c r="F1843" s="215"/>
      <c r="G1843" s="73"/>
      <c r="H1843" s="9"/>
      <c r="I1843" s="9"/>
      <c r="J1843" s="9"/>
      <c r="K1843" s="9"/>
    </row>
    <row r="1844" spans="1:11" s="82" customFormat="1" x14ac:dyDescent="0.2">
      <c r="A1844" s="246"/>
      <c r="B1844" s="20" t="s">
        <v>766</v>
      </c>
      <c r="C1844" s="16"/>
      <c r="D1844" s="38"/>
      <c r="E1844" s="23"/>
      <c r="F1844" s="215"/>
      <c r="G1844" s="73"/>
      <c r="H1844" s="9"/>
      <c r="I1844" s="9"/>
      <c r="J1844" s="9"/>
      <c r="K1844" s="9"/>
    </row>
    <row r="1845" spans="1:11" s="82" customFormat="1" ht="25.5" x14ac:dyDescent="0.2">
      <c r="A1845" s="246"/>
      <c r="B1845" s="20" t="s">
        <v>1343</v>
      </c>
      <c r="C1845" s="16"/>
      <c r="D1845" s="38"/>
      <c r="E1845" s="23"/>
      <c r="F1845" s="215"/>
      <c r="G1845" s="73"/>
      <c r="H1845" s="9"/>
      <c r="I1845" s="9"/>
      <c r="J1845" s="9"/>
      <c r="K1845" s="9"/>
    </row>
    <row r="1846" spans="1:11" s="82" customFormat="1" x14ac:dyDescent="0.2">
      <c r="A1846" s="246"/>
      <c r="B1846" s="20" t="s">
        <v>1344</v>
      </c>
      <c r="C1846" s="16" t="s">
        <v>31</v>
      </c>
      <c r="D1846" s="38">
        <v>5</v>
      </c>
      <c r="E1846" s="12"/>
      <c r="F1846" s="215">
        <f>+D1846*E1846</f>
        <v>0</v>
      </c>
      <c r="G1846" s="73"/>
      <c r="H1846" s="9"/>
      <c r="I1846" s="9"/>
      <c r="J1846" s="9"/>
      <c r="K1846" s="9"/>
    </row>
    <row r="1847" spans="1:11" s="82" customFormat="1" ht="13.5" thickBot="1" x14ac:dyDescent="0.25">
      <c r="A1847" s="246"/>
      <c r="B1847" s="28"/>
      <c r="C1847" s="22"/>
      <c r="D1847" s="38"/>
      <c r="E1847" s="23"/>
      <c r="F1847" s="215"/>
      <c r="G1847" s="73"/>
      <c r="H1847" s="9"/>
      <c r="I1847" s="9"/>
      <c r="J1847" s="9"/>
      <c r="K1847" s="9"/>
    </row>
    <row r="1848" spans="1:11" s="82" customFormat="1" ht="15.75" thickBot="1" x14ac:dyDescent="0.25">
      <c r="A1848" s="235" t="str">
        <f>A1514</f>
        <v>10.</v>
      </c>
      <c r="B1848" s="52" t="s">
        <v>58</v>
      </c>
      <c r="C1848" s="53"/>
      <c r="D1848" s="236"/>
      <c r="E1848" s="145"/>
      <c r="F1848" s="238">
        <f>SUM(F1534:F1847)</f>
        <v>0</v>
      </c>
      <c r="G1848" s="73"/>
      <c r="H1848" s="9"/>
      <c r="I1848" s="9"/>
      <c r="J1848" s="9"/>
      <c r="K1848" s="9"/>
    </row>
    <row r="1849" spans="1:11" s="82" customFormat="1" ht="15.75" thickBot="1" x14ac:dyDescent="0.25">
      <c r="A1849" s="239" t="s">
        <v>67</v>
      </c>
      <c r="B1849" s="52" t="s">
        <v>27</v>
      </c>
      <c r="C1849" s="53"/>
      <c r="D1849" s="54"/>
      <c r="E1849" s="139"/>
      <c r="F1849" s="237"/>
      <c r="G1849" s="8"/>
      <c r="H1849" s="8"/>
      <c r="I1849" s="8"/>
      <c r="J1849" s="8"/>
      <c r="K1849" s="8"/>
    </row>
    <row r="1850" spans="1:11" s="82" customFormat="1" x14ac:dyDescent="0.2">
      <c r="A1850" s="376"/>
      <c r="B1850" s="25"/>
      <c r="C1850" s="25"/>
      <c r="D1850" s="25"/>
      <c r="E1850" s="68"/>
      <c r="F1850" s="242"/>
      <c r="G1850" s="8"/>
      <c r="H1850" s="8"/>
      <c r="I1850" s="8"/>
      <c r="J1850" s="8"/>
      <c r="K1850" s="8"/>
    </row>
    <row r="1851" spans="1:11" s="82" customFormat="1" ht="76.5" x14ac:dyDescent="0.2">
      <c r="A1851" s="213" t="s">
        <v>68</v>
      </c>
      <c r="B1851" s="21" t="s">
        <v>1430</v>
      </c>
      <c r="C1851" s="16"/>
      <c r="D1851" s="12"/>
      <c r="E1851" s="12"/>
      <c r="F1851" s="215"/>
      <c r="G1851" s="8"/>
      <c r="H1851" s="8"/>
      <c r="I1851" s="8"/>
      <c r="J1851" s="8"/>
      <c r="K1851" s="8"/>
    </row>
    <row r="1852" spans="1:11" s="82" customFormat="1" ht="63.75" x14ac:dyDescent="0.2">
      <c r="A1852" s="213"/>
      <c r="B1852" s="21" t="s">
        <v>577</v>
      </c>
      <c r="C1852" s="16"/>
      <c r="D1852" s="12"/>
      <c r="E1852" s="12"/>
      <c r="F1852" s="215"/>
      <c r="G1852" s="8"/>
      <c r="H1852" s="8"/>
      <c r="I1852" s="8"/>
      <c r="J1852" s="8"/>
      <c r="K1852" s="8"/>
    </row>
    <row r="1853" spans="1:11" s="82" customFormat="1" ht="63.75" x14ac:dyDescent="0.2">
      <c r="A1853" s="376"/>
      <c r="B1853" s="21" t="s">
        <v>578</v>
      </c>
      <c r="C1853" s="16"/>
      <c r="D1853" s="12"/>
      <c r="E1853" s="12"/>
      <c r="F1853" s="215"/>
      <c r="G1853" s="8"/>
      <c r="H1853" s="8"/>
      <c r="I1853" s="8"/>
      <c r="J1853" s="8"/>
      <c r="K1853" s="8"/>
    </row>
    <row r="1854" spans="1:11" s="82" customFormat="1" ht="25.5" x14ac:dyDescent="0.2">
      <c r="A1854" s="376"/>
      <c r="B1854" s="21" t="s">
        <v>579</v>
      </c>
      <c r="C1854" s="16"/>
      <c r="D1854" s="12"/>
      <c r="E1854" s="12"/>
      <c r="F1854" s="215"/>
      <c r="G1854" s="8"/>
      <c r="H1854" s="8"/>
      <c r="I1854" s="8"/>
      <c r="J1854" s="8"/>
      <c r="K1854" s="8"/>
    </row>
    <row r="1855" spans="1:11" s="82" customFormat="1" ht="25.5" x14ac:dyDescent="0.2">
      <c r="A1855" s="376"/>
      <c r="B1855" s="25" t="s">
        <v>580</v>
      </c>
      <c r="C1855" s="16"/>
      <c r="D1855" s="12"/>
      <c r="E1855" s="12"/>
      <c r="F1855" s="215"/>
      <c r="G1855" s="8"/>
      <c r="H1855" s="8"/>
      <c r="I1855" s="8"/>
      <c r="J1855" s="8"/>
      <c r="K1855" s="8"/>
    </row>
    <row r="1856" spans="1:11" s="82" customFormat="1" x14ac:dyDescent="0.2">
      <c r="A1856" s="376"/>
      <c r="B1856" s="25"/>
      <c r="C1856" s="16"/>
      <c r="D1856" s="12"/>
      <c r="E1856" s="12"/>
      <c r="F1856" s="215"/>
      <c r="G1856" s="8"/>
      <c r="H1856" s="8"/>
      <c r="I1856" s="8"/>
      <c r="J1856" s="8"/>
      <c r="K1856" s="8"/>
    </row>
    <row r="1857" spans="1:11" s="82" customFormat="1" x14ac:dyDescent="0.2">
      <c r="A1857" s="376"/>
      <c r="B1857" s="25" t="s">
        <v>570</v>
      </c>
      <c r="C1857" s="16"/>
      <c r="D1857" s="12"/>
      <c r="E1857" s="12"/>
      <c r="F1857" s="215"/>
      <c r="G1857" s="8"/>
      <c r="H1857" s="8"/>
      <c r="I1857" s="8"/>
      <c r="J1857" s="8"/>
      <c r="K1857" s="8"/>
    </row>
    <row r="1858" spans="1:11" s="82" customFormat="1" x14ac:dyDescent="0.2">
      <c r="A1858" s="376"/>
      <c r="B1858" s="26" t="s">
        <v>1040</v>
      </c>
      <c r="C1858" s="16" t="s">
        <v>37</v>
      </c>
      <c r="D1858" s="64">
        <f>513.29+127.4</f>
        <v>640.68999999999994</v>
      </c>
      <c r="E1858" s="12"/>
      <c r="F1858" s="215">
        <f>+D1858*E1858</f>
        <v>0</v>
      </c>
      <c r="G1858" s="8"/>
      <c r="H1858" s="8"/>
      <c r="I1858" s="8"/>
      <c r="J1858" s="8"/>
      <c r="K1858" s="8"/>
    </row>
    <row r="1859" spans="1:11" s="82" customFormat="1" x14ac:dyDescent="0.2">
      <c r="A1859" s="376"/>
      <c r="B1859" s="26"/>
      <c r="C1859" s="16"/>
      <c r="D1859" s="64"/>
      <c r="E1859" s="12"/>
      <c r="F1859" s="215"/>
      <c r="G1859" s="8"/>
      <c r="H1859" s="8"/>
      <c r="I1859" s="8"/>
      <c r="J1859" s="8"/>
      <c r="K1859" s="8"/>
    </row>
    <row r="1860" spans="1:11" s="82" customFormat="1" ht="76.5" x14ac:dyDescent="0.2">
      <c r="A1860" s="213" t="s">
        <v>69</v>
      </c>
      <c r="B1860" s="21" t="s">
        <v>1431</v>
      </c>
      <c r="C1860" s="16"/>
      <c r="D1860" s="18"/>
      <c r="E1860" s="12"/>
      <c r="F1860" s="215"/>
      <c r="G1860" s="8"/>
      <c r="H1860" s="8"/>
      <c r="I1860" s="8"/>
      <c r="J1860" s="8"/>
      <c r="K1860" s="8"/>
    </row>
    <row r="1861" spans="1:11" s="82" customFormat="1" ht="63.75" x14ac:dyDescent="0.2">
      <c r="A1861" s="213"/>
      <c r="B1861" s="21" t="s">
        <v>1375</v>
      </c>
      <c r="C1861" s="16"/>
      <c r="D1861" s="18"/>
      <c r="E1861" s="12"/>
      <c r="F1861" s="215"/>
      <c r="G1861" s="8"/>
      <c r="H1861" s="8"/>
      <c r="I1861" s="8"/>
      <c r="J1861" s="8"/>
      <c r="K1861" s="8"/>
    </row>
    <row r="1862" spans="1:11" s="82" customFormat="1" ht="51" x14ac:dyDescent="0.2">
      <c r="A1862" s="213"/>
      <c r="B1862" s="21" t="s">
        <v>1376</v>
      </c>
      <c r="C1862" s="16"/>
      <c r="D1862" s="18"/>
      <c r="E1862" s="12"/>
      <c r="F1862" s="215"/>
      <c r="G1862" s="8"/>
      <c r="H1862" s="8"/>
      <c r="I1862" s="8"/>
      <c r="J1862" s="8"/>
      <c r="K1862" s="8"/>
    </row>
    <row r="1863" spans="1:11" s="82" customFormat="1" ht="25.5" x14ac:dyDescent="0.2">
      <c r="A1863" s="213"/>
      <c r="B1863" s="25" t="s">
        <v>580</v>
      </c>
      <c r="C1863" s="16"/>
      <c r="D1863" s="18"/>
      <c r="E1863" s="12"/>
      <c r="F1863" s="215"/>
      <c r="G1863" s="8"/>
      <c r="H1863" s="8"/>
      <c r="I1863" s="8"/>
      <c r="J1863" s="8"/>
      <c r="K1863" s="8"/>
    </row>
    <row r="1864" spans="1:11" s="82" customFormat="1" x14ac:dyDescent="0.2">
      <c r="A1864" s="213"/>
      <c r="C1864" s="16"/>
      <c r="D1864" s="18"/>
      <c r="E1864" s="12"/>
      <c r="F1864" s="215"/>
      <c r="G1864" s="8"/>
      <c r="H1864" s="8"/>
      <c r="I1864" s="8"/>
      <c r="J1864" s="8"/>
      <c r="K1864" s="8"/>
    </row>
    <row r="1865" spans="1:11" s="82" customFormat="1" ht="25.5" x14ac:dyDescent="0.2">
      <c r="A1865" s="213"/>
      <c r="B1865" s="10" t="s">
        <v>950</v>
      </c>
      <c r="C1865" s="16"/>
      <c r="D1865" s="29"/>
      <c r="E1865" s="12"/>
      <c r="F1865" s="215"/>
      <c r="G1865" s="8"/>
      <c r="H1865" s="8"/>
      <c r="I1865" s="8"/>
      <c r="J1865" s="8"/>
      <c r="K1865" s="8"/>
    </row>
    <row r="1866" spans="1:11" s="82" customFormat="1" ht="90" thickBot="1" x14ac:dyDescent="0.25">
      <c r="A1866" s="306"/>
      <c r="B1866" s="326" t="s">
        <v>1374</v>
      </c>
      <c r="C1866" s="318" t="s">
        <v>37</v>
      </c>
      <c r="D1866" s="326">
        <f>2.1*(3.95*2+6.09+1+3.72+2.95+0.6+2.56+0.375*22.62+2.8+3.15+2.8+2.72+1.7+3.92+1.63)+2.5*(8.17+5.37+2.657*2)+(2.5+1.99)/2*1.4*2+2.7*(2.95+2.7+2.95+2.9+3.3+3.1+6.5*2*2)-(2.7*2.4*6+1*1.6*10+1.8*1*6+1.8*1.6*3+1*1*8+1.8*1*6+1*0.6*2)</f>
        <v>186.87825000000004</v>
      </c>
      <c r="E1866" s="341"/>
      <c r="F1866" s="320">
        <f>+D1866*E1866</f>
        <v>0</v>
      </c>
      <c r="G1866" s="8"/>
      <c r="H1866" s="8"/>
      <c r="I1866" s="8"/>
      <c r="J1866" s="8"/>
      <c r="K1866" s="8"/>
    </row>
    <row r="1867" spans="1:11" s="82" customFormat="1" x14ac:dyDescent="0.2">
      <c r="A1867" s="376"/>
      <c r="B1867" s="25"/>
      <c r="C1867" s="16"/>
      <c r="D1867" s="12"/>
      <c r="E1867" s="12"/>
      <c r="F1867" s="215"/>
      <c r="G1867" s="8"/>
      <c r="H1867" s="8"/>
      <c r="I1867" s="8"/>
      <c r="J1867" s="8"/>
      <c r="K1867" s="8"/>
    </row>
    <row r="1868" spans="1:11" s="82" customFormat="1" ht="51" x14ac:dyDescent="0.2">
      <c r="A1868" s="213" t="s">
        <v>70</v>
      </c>
      <c r="B1868" s="30" t="s">
        <v>1042</v>
      </c>
      <c r="C1868" s="27"/>
      <c r="D1868" s="26"/>
      <c r="E1868" s="39"/>
      <c r="F1868" s="215"/>
      <c r="G1868" s="8"/>
      <c r="H1868" s="8"/>
      <c r="I1868" s="8"/>
      <c r="J1868" s="8"/>
      <c r="K1868" s="8"/>
    </row>
    <row r="1869" spans="1:11" s="82" customFormat="1" ht="51" x14ac:dyDescent="0.2">
      <c r="A1869" s="376"/>
      <c r="B1869" s="30" t="s">
        <v>586</v>
      </c>
      <c r="C1869" s="27"/>
      <c r="D1869" s="26"/>
      <c r="E1869" s="39"/>
      <c r="F1869" s="215"/>
      <c r="G1869" s="8"/>
      <c r="H1869" s="8"/>
      <c r="I1869" s="8"/>
      <c r="J1869" s="8"/>
      <c r="K1869" s="8"/>
    </row>
    <row r="1870" spans="1:11" s="82" customFormat="1" x14ac:dyDescent="0.2">
      <c r="A1870" s="376"/>
      <c r="B1870" s="30" t="s">
        <v>587</v>
      </c>
      <c r="C1870" s="27"/>
      <c r="D1870" s="26"/>
      <c r="E1870" s="39"/>
      <c r="F1870" s="215"/>
      <c r="G1870" s="8"/>
      <c r="H1870" s="8"/>
      <c r="I1870" s="8"/>
      <c r="J1870" s="8"/>
      <c r="K1870" s="8"/>
    </row>
    <row r="1871" spans="1:11" s="82" customFormat="1" ht="25.5" x14ac:dyDescent="0.2">
      <c r="A1871" s="376"/>
      <c r="B1871" s="21" t="s">
        <v>579</v>
      </c>
      <c r="C1871" s="27"/>
      <c r="D1871" s="26"/>
      <c r="E1871" s="39"/>
      <c r="F1871" s="215"/>
      <c r="G1871" s="8"/>
      <c r="H1871" s="8"/>
      <c r="I1871" s="8"/>
      <c r="J1871" s="8"/>
      <c r="K1871" s="8"/>
    </row>
    <row r="1872" spans="1:11" s="82" customFormat="1" x14ac:dyDescent="0.2">
      <c r="A1872" s="376"/>
      <c r="B1872" s="137" t="s">
        <v>521</v>
      </c>
      <c r="C1872" s="27"/>
      <c r="D1872" s="26"/>
      <c r="E1872" s="39"/>
      <c r="F1872" s="215"/>
      <c r="G1872" s="8"/>
      <c r="H1872" s="8"/>
      <c r="I1872" s="8"/>
      <c r="J1872" s="8"/>
      <c r="K1872" s="8"/>
    </row>
    <row r="1873" spans="1:11" s="82" customFormat="1" x14ac:dyDescent="0.2">
      <c r="A1873" s="376"/>
      <c r="B1873" s="160" t="s">
        <v>585</v>
      </c>
      <c r="C1873" s="27"/>
      <c r="D1873" s="26"/>
      <c r="E1873" s="39"/>
      <c r="F1873" s="215"/>
      <c r="G1873" s="8"/>
      <c r="H1873" s="8"/>
      <c r="I1873" s="8"/>
      <c r="J1873" s="8"/>
      <c r="K1873" s="8"/>
    </row>
    <row r="1874" spans="1:11" s="82" customFormat="1" x14ac:dyDescent="0.2">
      <c r="A1874" s="376"/>
      <c r="B1874" s="106"/>
      <c r="C1874" s="27"/>
      <c r="D1874" s="26"/>
      <c r="E1874" s="39"/>
      <c r="F1874" s="215"/>
      <c r="G1874" s="8"/>
      <c r="H1874" s="8"/>
      <c r="I1874" s="8"/>
      <c r="J1874" s="8"/>
      <c r="K1874" s="8"/>
    </row>
    <row r="1875" spans="1:11" s="82" customFormat="1" ht="38.25" x14ac:dyDescent="0.2">
      <c r="A1875" s="376"/>
      <c r="B1875" s="64" t="s">
        <v>1043</v>
      </c>
      <c r="C1875" s="66" t="s">
        <v>38</v>
      </c>
      <c r="D1875" s="64">
        <f>3.825*2+7.25*2+8.18+2.54+8.65+5.87+1.8+5.58+11.89+2.87*2+8.46+8.9+7.9+11.72</f>
        <v>109.38</v>
      </c>
      <c r="E1875" s="12"/>
      <c r="F1875" s="215">
        <f>E1875*D1875</f>
        <v>0</v>
      </c>
      <c r="G1875" s="8"/>
      <c r="H1875" s="8"/>
      <c r="I1875" s="8"/>
      <c r="J1875" s="8"/>
      <c r="K1875" s="8"/>
    </row>
    <row r="1876" spans="1:11" x14ac:dyDescent="0.2">
      <c r="A1876" s="376"/>
      <c r="B1876" s="19"/>
      <c r="C1876" s="27"/>
      <c r="D1876" s="26"/>
      <c r="E1876" s="39"/>
      <c r="F1876" s="215"/>
      <c r="G1876" s="82"/>
      <c r="H1876" s="82"/>
      <c r="I1876" s="82"/>
      <c r="J1876" s="82"/>
      <c r="K1876" s="82"/>
    </row>
    <row r="1877" spans="1:11" ht="51" x14ac:dyDescent="0.2">
      <c r="A1877" s="213" t="s">
        <v>594</v>
      </c>
      <c r="B1877" s="134" t="s">
        <v>1045</v>
      </c>
      <c r="C1877" s="27"/>
      <c r="D1877" s="112"/>
      <c r="E1877" s="39"/>
      <c r="F1877" s="215"/>
      <c r="G1877" s="82"/>
      <c r="H1877" s="82"/>
      <c r="I1877" s="82"/>
      <c r="J1877" s="82"/>
      <c r="K1877" s="82"/>
    </row>
    <row r="1878" spans="1:11" ht="25.5" x14ac:dyDescent="0.2">
      <c r="A1878" s="213"/>
      <c r="B1878" s="134" t="s">
        <v>1048</v>
      </c>
      <c r="C1878" s="27"/>
      <c r="D1878" s="112"/>
      <c r="E1878" s="39"/>
      <c r="F1878" s="215"/>
      <c r="G1878" s="82"/>
      <c r="H1878" s="82"/>
      <c r="I1878" s="82"/>
      <c r="J1878" s="82"/>
      <c r="K1878" s="82"/>
    </row>
    <row r="1879" spans="1:11" ht="51" x14ac:dyDescent="0.2">
      <c r="A1879" s="213"/>
      <c r="B1879" s="82" t="s">
        <v>1046</v>
      </c>
      <c r="C1879" s="27"/>
      <c r="D1879" s="112"/>
      <c r="E1879" s="39"/>
      <c r="F1879" s="215"/>
      <c r="G1879" s="82"/>
      <c r="H1879" s="82"/>
      <c r="I1879" s="82"/>
      <c r="J1879" s="82"/>
      <c r="K1879" s="82"/>
    </row>
    <row r="1880" spans="1:11" ht="25.5" x14ac:dyDescent="0.2">
      <c r="A1880" s="213"/>
      <c r="B1880" s="82" t="s">
        <v>583</v>
      </c>
      <c r="C1880" s="27"/>
      <c r="D1880" s="112"/>
      <c r="E1880" s="39"/>
      <c r="F1880" s="215"/>
      <c r="G1880" s="82"/>
      <c r="H1880" s="82"/>
      <c r="I1880" s="82"/>
      <c r="J1880" s="82"/>
      <c r="K1880" s="82"/>
    </row>
    <row r="1881" spans="1:11" ht="25.5" x14ac:dyDescent="0.2">
      <c r="A1881" s="213"/>
      <c r="B1881" s="21" t="s">
        <v>579</v>
      </c>
      <c r="C1881" s="27"/>
      <c r="D1881" s="112"/>
      <c r="E1881" s="39"/>
      <c r="F1881" s="215"/>
      <c r="G1881" s="82"/>
      <c r="H1881" s="82"/>
      <c r="I1881" s="82"/>
      <c r="J1881" s="82"/>
      <c r="K1881" s="82"/>
    </row>
    <row r="1882" spans="1:11" ht="25.5" x14ac:dyDescent="0.2">
      <c r="A1882" s="213"/>
      <c r="B1882" s="160" t="s">
        <v>277</v>
      </c>
      <c r="C1882" s="27"/>
      <c r="D1882" s="112"/>
      <c r="E1882" s="39"/>
      <c r="F1882" s="215"/>
      <c r="G1882" s="82"/>
      <c r="H1882" s="82"/>
      <c r="I1882" s="82"/>
      <c r="J1882" s="82"/>
      <c r="K1882" s="82"/>
    </row>
    <row r="1883" spans="1:11" x14ac:dyDescent="0.2">
      <c r="A1883" s="213"/>
      <c r="B1883" s="137"/>
      <c r="C1883" s="27"/>
      <c r="D1883" s="112"/>
      <c r="E1883" s="39"/>
      <c r="F1883" s="215"/>
      <c r="G1883" s="82"/>
      <c r="H1883" s="82"/>
      <c r="I1883" s="82"/>
      <c r="J1883" s="82"/>
      <c r="K1883" s="82"/>
    </row>
    <row r="1884" spans="1:11" x14ac:dyDescent="0.2">
      <c r="A1884" s="213"/>
      <c r="B1884" s="12" t="s">
        <v>1047</v>
      </c>
      <c r="C1884" s="27"/>
      <c r="D1884" s="112"/>
      <c r="E1884" s="39"/>
      <c r="F1884" s="215"/>
      <c r="G1884" s="82"/>
      <c r="H1884" s="82"/>
      <c r="I1884" s="82"/>
      <c r="J1884" s="82"/>
      <c r="K1884" s="82"/>
    </row>
    <row r="1885" spans="1:11" ht="25.5" x14ac:dyDescent="0.2">
      <c r="A1885" s="213"/>
      <c r="B1885" s="64" t="s">
        <v>1044</v>
      </c>
      <c r="C1885" s="66" t="s">
        <v>38</v>
      </c>
      <c r="D1885" s="64">
        <f>8.18+2.54+8.65+5.87+1.8+5.58+11.89+2.87*2+8.46+8.9+7.9+11.72</f>
        <v>87.23</v>
      </c>
      <c r="E1885" s="12"/>
      <c r="F1885" s="215">
        <f>+D1885*E1885</f>
        <v>0</v>
      </c>
      <c r="G1885" s="82"/>
      <c r="H1885" s="82"/>
      <c r="I1885" s="82"/>
      <c r="J1885" s="82"/>
      <c r="K1885" s="82"/>
    </row>
    <row r="1886" spans="1:11" x14ac:dyDescent="0.2">
      <c r="A1886" s="376"/>
      <c r="B1886" s="13"/>
      <c r="C1886" s="27"/>
      <c r="D1886" s="26"/>
      <c r="E1886" s="39"/>
      <c r="F1886" s="215"/>
      <c r="G1886" s="82"/>
      <c r="H1886" s="82"/>
      <c r="I1886" s="82"/>
      <c r="J1886" s="82"/>
      <c r="K1886" s="82"/>
    </row>
    <row r="1887" spans="1:11" ht="76.5" x14ac:dyDescent="0.2">
      <c r="A1887" s="213" t="s">
        <v>670</v>
      </c>
      <c r="B1887" s="134" t="s">
        <v>732</v>
      </c>
      <c r="C1887" s="27"/>
      <c r="D1887" s="26"/>
      <c r="E1887" s="39"/>
      <c r="F1887" s="215"/>
      <c r="G1887" s="82"/>
      <c r="H1887" s="82"/>
      <c r="I1887" s="82"/>
      <c r="J1887" s="82"/>
      <c r="K1887" s="82"/>
    </row>
    <row r="1888" spans="1:11" x14ac:dyDescent="0.2">
      <c r="A1888" s="213"/>
      <c r="B1888" s="134" t="s">
        <v>581</v>
      </c>
      <c r="C1888" s="27"/>
      <c r="D1888" s="26"/>
      <c r="E1888" s="39"/>
      <c r="F1888" s="215"/>
      <c r="G1888" s="82"/>
      <c r="H1888" s="82"/>
      <c r="I1888" s="82"/>
      <c r="J1888" s="82"/>
      <c r="K1888" s="82"/>
    </row>
    <row r="1889" spans="1:11" ht="51" x14ac:dyDescent="0.2">
      <c r="A1889" s="213"/>
      <c r="B1889" s="82" t="s">
        <v>582</v>
      </c>
      <c r="C1889" s="27"/>
      <c r="D1889" s="26"/>
      <c r="E1889" s="39"/>
      <c r="F1889" s="215"/>
      <c r="G1889" s="82"/>
      <c r="H1889" s="82"/>
      <c r="I1889" s="82"/>
      <c r="J1889" s="82"/>
      <c r="K1889" s="82"/>
    </row>
    <row r="1890" spans="1:11" ht="26.25" thickBot="1" x14ac:dyDescent="0.25">
      <c r="A1890" s="382"/>
      <c r="B1890" s="289" t="s">
        <v>583</v>
      </c>
      <c r="C1890" s="91"/>
      <c r="D1890" s="285"/>
      <c r="E1890" s="355"/>
      <c r="F1890" s="358"/>
      <c r="G1890" s="82"/>
      <c r="H1890" s="82"/>
      <c r="I1890" s="82"/>
      <c r="J1890" s="82"/>
      <c r="K1890" s="82"/>
    </row>
    <row r="1891" spans="1:11" x14ac:dyDescent="0.2">
      <c r="A1891" s="213"/>
      <c r="B1891" s="82"/>
      <c r="C1891" s="27"/>
      <c r="D1891" s="26"/>
      <c r="E1891" s="39"/>
      <c r="F1891" s="215"/>
      <c r="G1891" s="82"/>
      <c r="H1891" s="82"/>
      <c r="I1891" s="82"/>
      <c r="J1891" s="82"/>
      <c r="K1891" s="82"/>
    </row>
    <row r="1892" spans="1:11" x14ac:dyDescent="0.2">
      <c r="A1892" s="213"/>
      <c r="B1892" s="135" t="s">
        <v>584</v>
      </c>
      <c r="C1892" s="27"/>
      <c r="D1892" s="26"/>
      <c r="E1892" s="39"/>
      <c r="F1892" s="215"/>
      <c r="G1892" s="82"/>
      <c r="H1892" s="82"/>
      <c r="I1892" s="82"/>
      <c r="J1892" s="82"/>
      <c r="K1892" s="82"/>
    </row>
    <row r="1893" spans="1:11" ht="25.5" x14ac:dyDescent="0.2">
      <c r="A1893" s="213"/>
      <c r="B1893" s="21" t="s">
        <v>579</v>
      </c>
      <c r="C1893" s="27"/>
      <c r="D1893" s="26"/>
      <c r="E1893" s="39"/>
      <c r="F1893" s="215"/>
      <c r="G1893" s="82"/>
      <c r="H1893" s="82"/>
      <c r="I1893" s="82"/>
      <c r="J1893" s="82"/>
      <c r="K1893" s="82"/>
    </row>
    <row r="1894" spans="1:11" ht="25.5" x14ac:dyDescent="0.2">
      <c r="A1894" s="213"/>
      <c r="B1894" s="160" t="s">
        <v>277</v>
      </c>
      <c r="C1894" s="27"/>
      <c r="D1894" s="26"/>
      <c r="E1894" s="39"/>
      <c r="F1894" s="215"/>
      <c r="G1894" s="82"/>
      <c r="H1894" s="82"/>
      <c r="I1894" s="82"/>
      <c r="J1894" s="82"/>
      <c r="K1894" s="82"/>
    </row>
    <row r="1895" spans="1:11" x14ac:dyDescent="0.2">
      <c r="A1895" s="213"/>
      <c r="B1895" s="137"/>
      <c r="C1895" s="27"/>
      <c r="D1895" s="26"/>
      <c r="E1895" s="39"/>
      <c r="F1895" s="215"/>
      <c r="G1895" s="82"/>
      <c r="H1895" s="82"/>
      <c r="I1895" s="82"/>
      <c r="J1895" s="82"/>
      <c r="K1895" s="82"/>
    </row>
    <row r="1896" spans="1:11" x14ac:dyDescent="0.2">
      <c r="A1896" s="213"/>
      <c r="B1896" s="12" t="s">
        <v>1049</v>
      </c>
      <c r="C1896" s="27"/>
      <c r="D1896" s="26"/>
      <c r="E1896" s="39"/>
      <c r="F1896" s="215"/>
      <c r="G1896" s="82"/>
      <c r="H1896" s="82"/>
      <c r="I1896" s="82"/>
      <c r="J1896" s="82"/>
      <c r="K1896" s="82"/>
    </row>
    <row r="1897" spans="1:11" x14ac:dyDescent="0.2">
      <c r="A1897" s="376"/>
      <c r="B1897" s="64" t="s">
        <v>1041</v>
      </c>
      <c r="C1897" s="66" t="s">
        <v>38</v>
      </c>
      <c r="D1897" s="64">
        <f>3.825*2+7.25*2</f>
        <v>22.15</v>
      </c>
      <c r="E1897" s="12"/>
      <c r="F1897" s="215">
        <f>+D1897*E1897</f>
        <v>0</v>
      </c>
      <c r="G1897" s="82"/>
      <c r="H1897" s="82"/>
      <c r="I1897" s="82"/>
      <c r="J1897" s="82"/>
      <c r="K1897" s="82"/>
    </row>
    <row r="1898" spans="1:11" x14ac:dyDescent="0.2">
      <c r="A1898" s="376"/>
      <c r="B1898" s="19"/>
      <c r="C1898" s="27"/>
      <c r="D1898" s="26"/>
      <c r="E1898" s="39"/>
      <c r="F1898" s="215"/>
      <c r="G1898" s="82"/>
      <c r="H1898" s="82"/>
      <c r="I1898" s="82"/>
      <c r="J1898" s="82"/>
      <c r="K1898" s="82"/>
    </row>
    <row r="1899" spans="1:11" ht="51" x14ac:dyDescent="0.2">
      <c r="A1899" s="213" t="s">
        <v>595</v>
      </c>
      <c r="B1899" s="134" t="s">
        <v>1050</v>
      </c>
      <c r="C1899" s="27"/>
      <c r="D1899" s="29"/>
      <c r="E1899" s="39"/>
      <c r="F1899" s="215"/>
      <c r="G1899" s="82"/>
      <c r="H1899" s="82"/>
      <c r="I1899" s="82"/>
      <c r="J1899" s="82"/>
      <c r="K1899" s="82"/>
    </row>
    <row r="1900" spans="1:11" ht="25.5" x14ac:dyDescent="0.2">
      <c r="A1900" s="213"/>
      <c r="B1900" s="24" t="s">
        <v>1051</v>
      </c>
      <c r="C1900" s="27"/>
      <c r="D1900" s="29"/>
      <c r="E1900" s="39"/>
      <c r="F1900" s="215"/>
      <c r="G1900" s="82"/>
      <c r="H1900" s="82"/>
      <c r="I1900" s="82"/>
      <c r="J1900" s="82"/>
      <c r="K1900" s="82"/>
    </row>
    <row r="1901" spans="1:11" ht="25.5" x14ac:dyDescent="0.2">
      <c r="A1901" s="213"/>
      <c r="B1901" s="21" t="s">
        <v>579</v>
      </c>
      <c r="C1901" s="27"/>
      <c r="D1901" s="29"/>
      <c r="E1901" s="39"/>
      <c r="F1901" s="215"/>
      <c r="G1901" s="82"/>
      <c r="H1901" s="82"/>
      <c r="I1901" s="82"/>
      <c r="J1901" s="82"/>
      <c r="K1901" s="82"/>
    </row>
    <row r="1902" spans="1:11" ht="25.5" x14ac:dyDescent="0.2">
      <c r="A1902" s="213"/>
      <c r="B1902" s="160" t="s">
        <v>1052</v>
      </c>
      <c r="C1902" s="27"/>
      <c r="D1902" s="29"/>
      <c r="E1902" s="39"/>
      <c r="F1902" s="215"/>
      <c r="G1902" s="82"/>
      <c r="H1902" s="82"/>
      <c r="I1902" s="82"/>
      <c r="J1902" s="82"/>
      <c r="K1902" s="82"/>
    </row>
    <row r="1903" spans="1:11" x14ac:dyDescent="0.2">
      <c r="A1903" s="213"/>
      <c r="B1903" s="137"/>
      <c r="C1903" s="27"/>
      <c r="D1903" s="29"/>
      <c r="E1903" s="39"/>
      <c r="F1903" s="215"/>
      <c r="G1903" s="82"/>
      <c r="H1903" s="82"/>
      <c r="I1903" s="82"/>
      <c r="J1903" s="82"/>
      <c r="K1903" s="82"/>
    </row>
    <row r="1904" spans="1:11" x14ac:dyDescent="0.2">
      <c r="A1904" s="213"/>
      <c r="B1904" s="12" t="s">
        <v>1053</v>
      </c>
      <c r="C1904" s="27"/>
      <c r="D1904" s="29"/>
      <c r="E1904" s="39"/>
      <c r="F1904" s="215"/>
      <c r="G1904" s="82"/>
      <c r="H1904" s="82"/>
      <c r="I1904" s="82"/>
      <c r="J1904" s="82"/>
      <c r="K1904" s="82"/>
    </row>
    <row r="1905" spans="1:11" ht="25.5" x14ac:dyDescent="0.2">
      <c r="A1905" s="213"/>
      <c r="B1905" s="64" t="s">
        <v>1044</v>
      </c>
      <c r="C1905" s="66" t="s">
        <v>38</v>
      </c>
      <c r="D1905" s="64">
        <f>8.18+2.54+8.65+5.87+1.8+5.58+11.89+2.87*2+8.46+8.9+7.9+11.72</f>
        <v>87.23</v>
      </c>
      <c r="E1905" s="12"/>
      <c r="F1905" s="215">
        <f>+D1905*E1905</f>
        <v>0</v>
      </c>
      <c r="G1905" s="82"/>
      <c r="H1905" s="82"/>
      <c r="I1905" s="82"/>
      <c r="J1905" s="82"/>
      <c r="K1905" s="82"/>
    </row>
    <row r="1906" spans="1:11" x14ac:dyDescent="0.2">
      <c r="A1906" s="376"/>
      <c r="B1906" s="19"/>
      <c r="C1906" s="27"/>
      <c r="D1906" s="26"/>
      <c r="E1906" s="39"/>
      <c r="F1906" s="215"/>
      <c r="G1906" s="82"/>
      <c r="H1906" s="82"/>
      <c r="I1906" s="82"/>
      <c r="J1906" s="82"/>
      <c r="K1906" s="82"/>
    </row>
    <row r="1907" spans="1:11" ht="63.75" x14ac:dyDescent="0.2">
      <c r="A1907" s="213" t="s">
        <v>596</v>
      </c>
      <c r="B1907" s="30" t="s">
        <v>588</v>
      </c>
      <c r="C1907" s="27"/>
      <c r="D1907" s="26"/>
      <c r="E1907" s="39"/>
      <c r="F1907" s="215"/>
      <c r="G1907" s="85"/>
      <c r="H1907" s="82"/>
    </row>
    <row r="1908" spans="1:11" ht="51" x14ac:dyDescent="0.2">
      <c r="A1908" s="213"/>
      <c r="B1908" s="21" t="s">
        <v>589</v>
      </c>
      <c r="C1908" s="27"/>
      <c r="D1908" s="26"/>
      <c r="E1908" s="39"/>
      <c r="F1908" s="215"/>
      <c r="G1908" s="85"/>
      <c r="H1908" s="82"/>
    </row>
    <row r="1909" spans="1:11" ht="63.75" x14ac:dyDescent="0.2">
      <c r="A1909" s="376"/>
      <c r="B1909" s="30" t="s">
        <v>105</v>
      </c>
      <c r="C1909" s="27"/>
      <c r="D1909" s="26"/>
      <c r="E1909" s="39"/>
      <c r="F1909" s="215"/>
      <c r="G1909" s="85"/>
      <c r="H1909" s="82"/>
    </row>
    <row r="1910" spans="1:11" s="82" customFormat="1" ht="38.25" x14ac:dyDescent="0.2">
      <c r="A1910" s="376"/>
      <c r="B1910" s="21" t="s">
        <v>590</v>
      </c>
      <c r="C1910" s="27"/>
      <c r="D1910" s="26"/>
      <c r="E1910" s="39"/>
      <c r="F1910" s="215"/>
      <c r="G1910" s="85"/>
      <c r="I1910" s="8"/>
      <c r="J1910" s="8"/>
      <c r="K1910" s="8"/>
    </row>
    <row r="1911" spans="1:11" ht="51" x14ac:dyDescent="0.2">
      <c r="A1911" s="376"/>
      <c r="B1911" s="30" t="s">
        <v>591</v>
      </c>
      <c r="C1911" s="27"/>
      <c r="D1911" s="26"/>
      <c r="E1911" s="39"/>
      <c r="F1911" s="215"/>
      <c r="G1911" s="85"/>
      <c r="H1911" s="82"/>
    </row>
    <row r="1912" spans="1:11" x14ac:dyDescent="0.2">
      <c r="A1912" s="376"/>
      <c r="B1912" s="30" t="s">
        <v>93</v>
      </c>
      <c r="C1912" s="27"/>
      <c r="D1912" s="26"/>
      <c r="E1912" s="39"/>
      <c r="F1912" s="215"/>
      <c r="G1912" s="85"/>
      <c r="H1912" s="82"/>
    </row>
    <row r="1913" spans="1:11" x14ac:dyDescent="0.2">
      <c r="A1913" s="376"/>
      <c r="B1913" s="30"/>
      <c r="C1913" s="27"/>
      <c r="D1913" s="26"/>
      <c r="E1913" s="39"/>
      <c r="F1913" s="215"/>
      <c r="G1913" s="85"/>
      <c r="H1913" s="82"/>
    </row>
    <row r="1914" spans="1:11" x14ac:dyDescent="0.2">
      <c r="A1914" s="376"/>
      <c r="B1914" s="30" t="s">
        <v>117</v>
      </c>
      <c r="C1914" s="27"/>
      <c r="D1914" s="26"/>
      <c r="E1914" s="39"/>
      <c r="F1914" s="215"/>
      <c r="G1914" s="85"/>
      <c r="H1914" s="82"/>
    </row>
    <row r="1915" spans="1:11" ht="13.5" thickBot="1" x14ac:dyDescent="0.25">
      <c r="A1915" s="388"/>
      <c r="B1915" s="298" t="s">
        <v>1054</v>
      </c>
      <c r="C1915" s="290" t="s">
        <v>38</v>
      </c>
      <c r="D1915" s="287">
        <f>15.64*4+14.05*2</f>
        <v>90.66</v>
      </c>
      <c r="E1915" s="92"/>
      <c r="F1915" s="283">
        <f>E1915*D1915</f>
        <v>0</v>
      </c>
      <c r="G1915" s="85"/>
      <c r="H1915" s="82"/>
    </row>
    <row r="1916" spans="1:11" x14ac:dyDescent="0.2">
      <c r="A1916" s="376"/>
      <c r="B1916" s="26"/>
      <c r="C1916" s="27"/>
      <c r="D1916" s="26"/>
      <c r="E1916" s="39"/>
      <c r="F1916" s="215"/>
      <c r="G1916" s="85"/>
      <c r="H1916" s="82"/>
    </row>
    <row r="1917" spans="1:11" ht="51" x14ac:dyDescent="0.2">
      <c r="A1917" s="213" t="s">
        <v>597</v>
      </c>
      <c r="B1917" s="30" t="s">
        <v>592</v>
      </c>
      <c r="C1917" s="41"/>
      <c r="D1917" s="30"/>
      <c r="E1917" s="30"/>
      <c r="F1917" s="420"/>
      <c r="G1917" s="85"/>
      <c r="H1917" s="82"/>
    </row>
    <row r="1918" spans="1:11" ht="51" x14ac:dyDescent="0.2">
      <c r="A1918" s="213"/>
      <c r="B1918" s="30" t="s">
        <v>593</v>
      </c>
      <c r="C1918" s="41"/>
      <c r="D1918" s="30"/>
      <c r="E1918" s="30"/>
      <c r="F1918" s="420"/>
      <c r="G1918" s="85"/>
      <c r="H1918" s="82"/>
    </row>
    <row r="1919" spans="1:11" ht="25.5" x14ac:dyDescent="0.2">
      <c r="A1919" s="376"/>
      <c r="B1919" s="30" t="s">
        <v>99</v>
      </c>
      <c r="C1919" s="41" t="s">
        <v>31</v>
      </c>
      <c r="D1919" s="114">
        <v>6</v>
      </c>
      <c r="E1919" s="20"/>
      <c r="F1919" s="214">
        <f>E1919*D1919</f>
        <v>0</v>
      </c>
      <c r="G1919" s="85"/>
      <c r="H1919" s="82"/>
    </row>
    <row r="1920" spans="1:11" x14ac:dyDescent="0.2">
      <c r="A1920" s="376"/>
      <c r="B1920" s="30"/>
      <c r="C1920" s="41"/>
      <c r="D1920" s="114"/>
      <c r="E1920" s="20"/>
      <c r="F1920" s="214"/>
      <c r="G1920" s="85"/>
      <c r="H1920" s="82"/>
    </row>
    <row r="1921" spans="1:8" ht="25.5" x14ac:dyDescent="0.2">
      <c r="A1921" s="213" t="s">
        <v>598</v>
      </c>
      <c r="B1921" s="30" t="s">
        <v>1055</v>
      </c>
      <c r="C1921" s="41"/>
      <c r="D1921" s="114"/>
      <c r="E1921" s="20"/>
      <c r="F1921" s="214"/>
      <c r="G1921" s="85"/>
      <c r="H1921" s="82"/>
    </row>
    <row r="1922" spans="1:8" ht="63.75" x14ac:dyDescent="0.2">
      <c r="A1922" s="213"/>
      <c r="B1922" s="30" t="s">
        <v>1056</v>
      </c>
      <c r="C1922" s="41"/>
      <c r="D1922" s="114"/>
      <c r="E1922" s="20"/>
      <c r="F1922" s="214"/>
      <c r="G1922" s="85"/>
      <c r="H1922" s="82"/>
    </row>
    <row r="1923" spans="1:8" ht="38.25" x14ac:dyDescent="0.2">
      <c r="A1923" s="213"/>
      <c r="B1923" s="30" t="s">
        <v>1057</v>
      </c>
      <c r="C1923" s="41"/>
      <c r="D1923" s="114"/>
      <c r="E1923" s="20"/>
      <c r="F1923" s="214"/>
      <c r="G1923" s="85"/>
      <c r="H1923" s="82"/>
    </row>
    <row r="1924" spans="1:8" ht="25.5" x14ac:dyDescent="0.2">
      <c r="A1924" s="376"/>
      <c r="B1924" s="30" t="s">
        <v>1058</v>
      </c>
      <c r="C1924" s="41"/>
      <c r="D1924" s="114"/>
      <c r="E1924" s="20"/>
      <c r="F1924" s="214"/>
      <c r="G1924" s="85"/>
      <c r="H1924" s="82"/>
    </row>
    <row r="1925" spans="1:8" ht="25.5" x14ac:dyDescent="0.2">
      <c r="A1925" s="376"/>
      <c r="B1925" s="21" t="s">
        <v>579</v>
      </c>
      <c r="C1925" s="41"/>
      <c r="D1925" s="114"/>
      <c r="E1925" s="20"/>
      <c r="F1925" s="214"/>
      <c r="G1925" s="85"/>
      <c r="H1925" s="82"/>
    </row>
    <row r="1926" spans="1:8" x14ac:dyDescent="0.2">
      <c r="A1926" s="376"/>
      <c r="B1926" s="160" t="s">
        <v>93</v>
      </c>
      <c r="C1926" s="41"/>
      <c r="D1926" s="114"/>
      <c r="E1926" s="20"/>
      <c r="F1926" s="214"/>
      <c r="G1926" s="85"/>
      <c r="H1926" s="82"/>
    </row>
    <row r="1927" spans="1:8" x14ac:dyDescent="0.2">
      <c r="A1927" s="376"/>
      <c r="B1927" s="137"/>
      <c r="C1927" s="41"/>
      <c r="D1927" s="114"/>
      <c r="E1927" s="20"/>
      <c r="F1927" s="214"/>
      <c r="G1927" s="85"/>
      <c r="H1927" s="82"/>
    </row>
    <row r="1928" spans="1:8" x14ac:dyDescent="0.2">
      <c r="A1928" s="376"/>
      <c r="B1928" s="24" t="s">
        <v>1059</v>
      </c>
      <c r="C1928" s="66" t="s">
        <v>38</v>
      </c>
      <c r="D1928" s="24">
        <f>7.25*2+3.825*2</f>
        <v>22.15</v>
      </c>
      <c r="E1928" s="12"/>
      <c r="F1928" s="219">
        <f>E1928*D1928</f>
        <v>0</v>
      </c>
      <c r="G1928" s="85"/>
      <c r="H1928" s="82"/>
    </row>
    <row r="1929" spans="1:8" x14ac:dyDescent="0.2">
      <c r="A1929" s="376"/>
      <c r="B1929" s="30"/>
      <c r="C1929" s="41"/>
      <c r="D1929" s="114"/>
      <c r="E1929" s="20"/>
      <c r="F1929" s="214"/>
      <c r="G1929" s="85"/>
      <c r="H1929" s="82"/>
    </row>
    <row r="1930" spans="1:8" ht="38.25" x14ac:dyDescent="0.2">
      <c r="A1930" s="213" t="s">
        <v>599</v>
      </c>
      <c r="B1930" s="30" t="s">
        <v>1066</v>
      </c>
      <c r="C1930" s="41"/>
      <c r="D1930" s="114"/>
      <c r="E1930" s="20"/>
      <c r="F1930" s="214"/>
      <c r="G1930" s="85"/>
      <c r="H1930" s="82"/>
    </row>
    <row r="1931" spans="1:8" ht="63.75" x14ac:dyDescent="0.2">
      <c r="A1931" s="376"/>
      <c r="B1931" s="30" t="s">
        <v>604</v>
      </c>
      <c r="C1931" s="41"/>
      <c r="D1931" s="114"/>
      <c r="E1931" s="20"/>
      <c r="F1931" s="214"/>
      <c r="G1931" s="85"/>
      <c r="H1931" s="82"/>
    </row>
    <row r="1932" spans="1:8" ht="63.75" x14ac:dyDescent="0.2">
      <c r="A1932" s="376"/>
      <c r="B1932" s="30" t="s">
        <v>603</v>
      </c>
      <c r="C1932" s="41"/>
      <c r="D1932" s="114"/>
      <c r="E1932" s="20"/>
      <c r="F1932" s="214"/>
      <c r="G1932" s="85"/>
      <c r="H1932" s="82"/>
    </row>
    <row r="1933" spans="1:8" ht="25.5" x14ac:dyDescent="0.2">
      <c r="A1933" s="376"/>
      <c r="B1933" s="21" t="s">
        <v>579</v>
      </c>
      <c r="C1933" s="41"/>
      <c r="D1933" s="114"/>
      <c r="E1933" s="20"/>
      <c r="F1933" s="214"/>
      <c r="G1933" s="85"/>
      <c r="H1933" s="82"/>
    </row>
    <row r="1934" spans="1:8" x14ac:dyDescent="0.2">
      <c r="A1934" s="376"/>
      <c r="B1934" s="160" t="s">
        <v>93</v>
      </c>
      <c r="C1934" s="41"/>
      <c r="D1934" s="114"/>
      <c r="E1934" s="20"/>
      <c r="F1934" s="214"/>
      <c r="G1934" s="85"/>
      <c r="H1934" s="82"/>
    </row>
    <row r="1935" spans="1:8" x14ac:dyDescent="0.2">
      <c r="A1935" s="376"/>
      <c r="B1935" s="95"/>
      <c r="C1935" s="41"/>
      <c r="D1935" s="114"/>
      <c r="E1935" s="20"/>
      <c r="F1935" s="214"/>
      <c r="G1935" s="85"/>
      <c r="H1935" s="82"/>
    </row>
    <row r="1936" spans="1:8" x14ac:dyDescent="0.2">
      <c r="A1936" s="376"/>
      <c r="B1936" s="24" t="s">
        <v>897</v>
      </c>
      <c r="C1936" s="66"/>
      <c r="D1936" s="56"/>
      <c r="E1936" s="20"/>
      <c r="F1936" s="214"/>
      <c r="G1936" s="85"/>
      <c r="H1936" s="82"/>
    </row>
    <row r="1937" spans="1:11" ht="13.5" thickBot="1" x14ac:dyDescent="0.25">
      <c r="A1937" s="388"/>
      <c r="B1937" s="356" t="s">
        <v>1067</v>
      </c>
      <c r="C1937" s="93" t="s">
        <v>38</v>
      </c>
      <c r="D1937" s="357">
        <f>4*(1.4*2+2.8)</f>
        <v>22.4</v>
      </c>
      <c r="E1937" s="92"/>
      <c r="F1937" s="358">
        <f>E1937*D1937</f>
        <v>0</v>
      </c>
      <c r="G1937" s="85"/>
      <c r="H1937" s="82"/>
    </row>
    <row r="1938" spans="1:11" x14ac:dyDescent="0.2">
      <c r="A1938" s="376"/>
      <c r="B1938" s="95"/>
      <c r="C1938" s="41"/>
      <c r="D1938" s="114"/>
      <c r="E1938" s="20"/>
      <c r="F1938" s="214"/>
      <c r="G1938" s="85"/>
      <c r="H1938" s="82"/>
    </row>
    <row r="1939" spans="1:11" ht="63.75" x14ac:dyDescent="0.2">
      <c r="A1939" s="213" t="s">
        <v>600</v>
      </c>
      <c r="B1939" s="169" t="s">
        <v>736</v>
      </c>
      <c r="C1939" s="66"/>
      <c r="D1939" s="24"/>
      <c r="E1939" s="40"/>
      <c r="F1939" s="215"/>
      <c r="G1939" s="85"/>
      <c r="H1939" s="82"/>
      <c r="I1939" s="82"/>
      <c r="J1939" s="82"/>
      <c r="K1939" s="82"/>
    </row>
    <row r="1940" spans="1:11" ht="51" x14ac:dyDescent="0.2">
      <c r="A1940" s="376"/>
      <c r="B1940" s="169" t="s">
        <v>737</v>
      </c>
      <c r="C1940" s="66"/>
      <c r="D1940" s="24"/>
      <c r="E1940" s="40"/>
      <c r="F1940" s="215"/>
      <c r="G1940" s="85"/>
      <c r="H1940" s="82"/>
      <c r="I1940" s="82"/>
      <c r="J1940" s="82"/>
      <c r="K1940" s="82"/>
    </row>
    <row r="1941" spans="1:11" ht="25.5" x14ac:dyDescent="0.2">
      <c r="A1941" s="376"/>
      <c r="B1941" s="21" t="s">
        <v>579</v>
      </c>
      <c r="C1941" s="66"/>
      <c r="D1941" s="24"/>
      <c r="E1941" s="40"/>
      <c r="F1941" s="215"/>
      <c r="G1941" s="85"/>
      <c r="H1941" s="82"/>
      <c r="I1941" s="82"/>
      <c r="J1941" s="82"/>
      <c r="K1941" s="82"/>
    </row>
    <row r="1942" spans="1:11" x14ac:dyDescent="0.2">
      <c r="A1942" s="376"/>
      <c r="B1942" s="169" t="s">
        <v>738</v>
      </c>
      <c r="C1942" s="66"/>
      <c r="D1942" s="24"/>
      <c r="E1942" s="40"/>
      <c r="F1942" s="215"/>
      <c r="G1942" s="85"/>
      <c r="H1942" s="82"/>
      <c r="I1942" s="82"/>
      <c r="J1942" s="82"/>
      <c r="K1942" s="82"/>
    </row>
    <row r="1943" spans="1:11" x14ac:dyDescent="0.2">
      <c r="A1943" s="376"/>
      <c r="B1943" s="24"/>
      <c r="C1943" s="66"/>
      <c r="D1943" s="24"/>
      <c r="E1943" s="40"/>
      <c r="F1943" s="215"/>
      <c r="G1943" s="85"/>
      <c r="H1943" s="82"/>
      <c r="I1943" s="82"/>
      <c r="J1943" s="82"/>
      <c r="K1943" s="82"/>
    </row>
    <row r="1944" spans="1:11" x14ac:dyDescent="0.2">
      <c r="A1944" s="376"/>
      <c r="B1944" s="24" t="s">
        <v>616</v>
      </c>
      <c r="C1944" s="66" t="s">
        <v>31</v>
      </c>
      <c r="D1944" s="117">
        <f>7+8*4</f>
        <v>39</v>
      </c>
      <c r="E1944" s="40"/>
      <c r="F1944" s="215">
        <f>E1944*D1944</f>
        <v>0</v>
      </c>
      <c r="G1944" s="85"/>
      <c r="H1944" s="82"/>
      <c r="I1944" s="82"/>
      <c r="J1944" s="82"/>
      <c r="K1944" s="82"/>
    </row>
    <row r="1945" spans="1:11" x14ac:dyDescent="0.2">
      <c r="A1945" s="376"/>
      <c r="B1945" s="24"/>
      <c r="C1945" s="66"/>
      <c r="D1945" s="24"/>
      <c r="E1945" s="40"/>
      <c r="F1945" s="215"/>
      <c r="G1945" s="85"/>
      <c r="H1945" s="82"/>
      <c r="I1945" s="82"/>
      <c r="J1945" s="82"/>
      <c r="K1945" s="82"/>
    </row>
    <row r="1946" spans="1:11" ht="76.5" x14ac:dyDescent="0.2">
      <c r="A1946" s="213" t="s">
        <v>601</v>
      </c>
      <c r="B1946" s="21" t="s">
        <v>1068</v>
      </c>
      <c r="C1946" s="16"/>
      <c r="D1946" s="126"/>
      <c r="E1946" s="40"/>
      <c r="F1946" s="215"/>
      <c r="G1946" s="85"/>
      <c r="H1946" s="82"/>
      <c r="I1946" s="82"/>
      <c r="J1946" s="82"/>
      <c r="K1946" s="82"/>
    </row>
    <row r="1947" spans="1:11" ht="25.5" x14ac:dyDescent="0.2">
      <c r="A1947" s="213"/>
      <c r="B1947" s="21" t="s">
        <v>1069</v>
      </c>
      <c r="C1947" s="16"/>
      <c r="D1947" s="126"/>
      <c r="E1947" s="40"/>
      <c r="F1947" s="215"/>
      <c r="G1947" s="85"/>
      <c r="H1947" s="82"/>
      <c r="I1947" s="82"/>
      <c r="J1947" s="82"/>
      <c r="K1947" s="82"/>
    </row>
    <row r="1948" spans="1:11" x14ac:dyDescent="0.2">
      <c r="A1948" s="213"/>
      <c r="B1948" s="21" t="s">
        <v>1070</v>
      </c>
      <c r="C1948" s="16"/>
      <c r="D1948" s="126"/>
      <c r="E1948" s="40"/>
      <c r="F1948" s="215"/>
      <c r="G1948" s="85"/>
      <c r="H1948" s="82"/>
      <c r="I1948" s="82"/>
      <c r="J1948" s="82"/>
      <c r="K1948" s="82"/>
    </row>
    <row r="1949" spans="1:11" ht="25.5" x14ac:dyDescent="0.2">
      <c r="A1949" s="213"/>
      <c r="B1949" s="21" t="s">
        <v>579</v>
      </c>
      <c r="C1949" s="16"/>
      <c r="D1949" s="126"/>
      <c r="E1949" s="40"/>
      <c r="F1949" s="215"/>
      <c r="G1949" s="85"/>
      <c r="H1949" s="82"/>
      <c r="I1949" s="82"/>
      <c r="J1949" s="82"/>
      <c r="K1949" s="82"/>
    </row>
    <row r="1950" spans="1:11" ht="25.5" x14ac:dyDescent="0.2">
      <c r="A1950" s="213"/>
      <c r="B1950" s="25" t="s">
        <v>580</v>
      </c>
      <c r="C1950" s="16"/>
      <c r="D1950" s="126"/>
      <c r="E1950" s="40"/>
      <c r="F1950" s="215"/>
      <c r="G1950" s="85"/>
      <c r="H1950" s="82"/>
      <c r="I1950" s="82"/>
      <c r="J1950" s="82"/>
      <c r="K1950" s="82"/>
    </row>
    <row r="1951" spans="1:11" x14ac:dyDescent="0.2">
      <c r="A1951" s="376"/>
      <c r="B1951" s="24"/>
      <c r="C1951" s="16"/>
      <c r="D1951" s="126"/>
      <c r="E1951" s="40"/>
      <c r="F1951" s="215"/>
      <c r="G1951" s="85"/>
      <c r="H1951" s="82"/>
      <c r="I1951" s="82"/>
      <c r="J1951" s="82"/>
      <c r="K1951" s="82"/>
    </row>
    <row r="1952" spans="1:11" x14ac:dyDescent="0.2">
      <c r="A1952" s="376"/>
      <c r="B1952" s="24" t="s">
        <v>960</v>
      </c>
      <c r="C1952" s="16" t="s">
        <v>37</v>
      </c>
      <c r="D1952" s="56">
        <f>2.9*1.4</f>
        <v>4.0599999999999996</v>
      </c>
      <c r="E1952" s="12"/>
      <c r="F1952" s="215">
        <f>E1952*D1952</f>
        <v>0</v>
      </c>
      <c r="G1952" s="85"/>
      <c r="H1952" s="82"/>
      <c r="I1952" s="82"/>
      <c r="J1952" s="82"/>
      <c r="K1952" s="82"/>
    </row>
    <row r="1953" spans="1:11" x14ac:dyDescent="0.2">
      <c r="A1953" s="376"/>
      <c r="B1953" s="24"/>
      <c r="C1953" s="66"/>
      <c r="D1953" s="24"/>
      <c r="E1953" s="40"/>
      <c r="F1953" s="215"/>
      <c r="G1953" s="85"/>
      <c r="H1953" s="82"/>
      <c r="I1953" s="82"/>
      <c r="J1953" s="82"/>
      <c r="K1953" s="82"/>
    </row>
    <row r="1954" spans="1:11" ht="51" x14ac:dyDescent="0.2">
      <c r="A1954" s="213" t="s">
        <v>602</v>
      </c>
      <c r="B1954" s="30" t="s">
        <v>1071</v>
      </c>
      <c r="C1954" s="41"/>
      <c r="D1954" s="222"/>
      <c r="E1954" s="20"/>
      <c r="F1954" s="214"/>
      <c r="G1954" s="85"/>
      <c r="H1954" s="82"/>
      <c r="I1954" s="82"/>
      <c r="J1954" s="82"/>
      <c r="K1954" s="82"/>
    </row>
    <row r="1955" spans="1:11" ht="38.25" x14ac:dyDescent="0.2">
      <c r="A1955" s="376"/>
      <c r="B1955" s="30" t="s">
        <v>1072</v>
      </c>
      <c r="C1955" s="41"/>
      <c r="D1955" s="222"/>
      <c r="E1955" s="20"/>
      <c r="F1955" s="214"/>
      <c r="G1955" s="85"/>
      <c r="H1955" s="82"/>
      <c r="I1955" s="82"/>
      <c r="J1955" s="82"/>
      <c r="K1955" s="82"/>
    </row>
    <row r="1956" spans="1:11" ht="51" x14ac:dyDescent="0.2">
      <c r="A1956" s="376"/>
      <c r="B1956" s="30" t="s">
        <v>1073</v>
      </c>
      <c r="C1956" s="41"/>
      <c r="D1956" s="222"/>
      <c r="E1956" s="20"/>
      <c r="F1956" s="214"/>
      <c r="G1956" s="85"/>
      <c r="H1956" s="82"/>
      <c r="I1956" s="82"/>
      <c r="J1956" s="82"/>
      <c r="K1956" s="82"/>
    </row>
    <row r="1957" spans="1:11" ht="25.5" x14ac:dyDescent="0.2">
      <c r="A1957" s="376"/>
      <c r="B1957" s="21" t="s">
        <v>579</v>
      </c>
      <c r="C1957" s="41"/>
      <c r="D1957" s="222"/>
      <c r="E1957" s="20"/>
      <c r="F1957" s="214"/>
      <c r="G1957" s="85"/>
      <c r="H1957" s="82"/>
      <c r="I1957" s="82"/>
      <c r="J1957" s="82"/>
      <c r="K1957" s="82"/>
    </row>
    <row r="1958" spans="1:11" x14ac:dyDescent="0.2">
      <c r="A1958" s="376"/>
      <c r="B1958" s="160" t="s">
        <v>93</v>
      </c>
      <c r="C1958" s="41"/>
      <c r="D1958" s="222"/>
      <c r="E1958" s="20"/>
      <c r="F1958" s="214"/>
      <c r="G1958" s="85"/>
      <c r="H1958" s="82"/>
      <c r="I1958" s="82"/>
      <c r="J1958" s="82"/>
      <c r="K1958" s="82"/>
    </row>
    <row r="1959" spans="1:11" x14ac:dyDescent="0.2">
      <c r="A1959" s="376"/>
      <c r="B1959" s="30"/>
      <c r="C1959" s="41"/>
      <c r="D1959" s="222"/>
      <c r="E1959" s="20"/>
      <c r="F1959" s="214"/>
      <c r="G1959" s="85"/>
      <c r="H1959" s="82"/>
      <c r="I1959" s="82"/>
      <c r="J1959" s="82"/>
      <c r="K1959" s="82"/>
    </row>
    <row r="1960" spans="1:11" ht="13.5" thickBot="1" x14ac:dyDescent="0.25">
      <c r="A1960" s="388"/>
      <c r="B1960" s="287" t="s">
        <v>1074</v>
      </c>
      <c r="C1960" s="290" t="s">
        <v>38</v>
      </c>
      <c r="D1960" s="359">
        <f>2*(2.89+2.28)</f>
        <v>10.34</v>
      </c>
      <c r="E1960" s="92"/>
      <c r="F1960" s="283">
        <f>E1960*D1960</f>
        <v>0</v>
      </c>
      <c r="G1960" s="85"/>
      <c r="H1960" s="82"/>
      <c r="I1960" s="82"/>
      <c r="J1960" s="82"/>
      <c r="K1960" s="82"/>
    </row>
    <row r="1961" spans="1:11" x14ac:dyDescent="0.2">
      <c r="A1961" s="376"/>
      <c r="B1961" s="24"/>
      <c r="C1961" s="66"/>
      <c r="D1961" s="56"/>
      <c r="E1961" s="12"/>
      <c r="F1961" s="214"/>
      <c r="G1961" s="85"/>
      <c r="H1961" s="82"/>
      <c r="I1961" s="82"/>
      <c r="J1961" s="82"/>
      <c r="K1961" s="82"/>
    </row>
    <row r="1962" spans="1:11" ht="25.5" x14ac:dyDescent="0.2">
      <c r="A1962" s="213" t="s">
        <v>1509</v>
      </c>
      <c r="B1962" s="30" t="s">
        <v>1395</v>
      </c>
      <c r="C1962" s="16"/>
      <c r="D1962" s="126"/>
      <c r="E1962" s="40"/>
      <c r="F1962" s="215"/>
      <c r="G1962" s="85"/>
      <c r="H1962" s="82"/>
      <c r="I1962" s="82"/>
      <c r="J1962" s="82"/>
      <c r="K1962" s="82"/>
    </row>
    <row r="1963" spans="1:11" ht="63.75" x14ac:dyDescent="0.2">
      <c r="A1963" s="376"/>
      <c r="B1963" s="30" t="s">
        <v>1056</v>
      </c>
      <c r="C1963" s="16"/>
      <c r="D1963" s="126"/>
      <c r="E1963" s="40"/>
      <c r="F1963" s="215"/>
      <c r="G1963" s="85"/>
      <c r="H1963" s="82"/>
      <c r="I1963" s="82"/>
      <c r="J1963" s="82"/>
      <c r="K1963" s="82"/>
    </row>
    <row r="1964" spans="1:11" ht="38.25" x14ac:dyDescent="0.2">
      <c r="A1964" s="213"/>
      <c r="B1964" s="30" t="s">
        <v>1057</v>
      </c>
      <c r="C1964" s="16"/>
      <c r="D1964" s="126"/>
      <c r="E1964" s="39"/>
      <c r="F1964" s="215"/>
      <c r="G1964" s="85"/>
      <c r="H1964" s="82"/>
      <c r="I1964" s="82"/>
      <c r="J1964" s="82"/>
      <c r="K1964" s="82"/>
    </row>
    <row r="1965" spans="1:11" ht="25.5" x14ac:dyDescent="0.2">
      <c r="A1965" s="376"/>
      <c r="B1965" s="30" t="s">
        <v>1058</v>
      </c>
      <c r="C1965" s="16"/>
      <c r="D1965" s="126"/>
      <c r="E1965" s="39"/>
      <c r="F1965" s="215"/>
      <c r="G1965" s="85"/>
      <c r="H1965" s="82"/>
      <c r="I1965" s="82"/>
      <c r="J1965" s="82"/>
      <c r="K1965" s="82"/>
    </row>
    <row r="1966" spans="1:11" ht="25.5" x14ac:dyDescent="0.2">
      <c r="A1966" s="376"/>
      <c r="B1966" s="21" t="s">
        <v>579</v>
      </c>
      <c r="C1966" s="16"/>
      <c r="D1966" s="126"/>
      <c r="E1966" s="39"/>
      <c r="F1966" s="215"/>
      <c r="G1966" s="85"/>
      <c r="H1966" s="82"/>
      <c r="I1966" s="82"/>
      <c r="J1966" s="82"/>
      <c r="K1966" s="82"/>
    </row>
    <row r="1967" spans="1:11" x14ac:dyDescent="0.2">
      <c r="A1967" s="376"/>
      <c r="B1967" s="160" t="s">
        <v>93</v>
      </c>
      <c r="C1967" s="16"/>
      <c r="D1967" s="126"/>
      <c r="E1967" s="39"/>
      <c r="F1967" s="215"/>
      <c r="G1967" s="85"/>
      <c r="H1967" s="82"/>
      <c r="I1967" s="82"/>
      <c r="J1967" s="82"/>
      <c r="K1967" s="82"/>
    </row>
    <row r="1968" spans="1:11" x14ac:dyDescent="0.2">
      <c r="A1968" s="376"/>
      <c r="B1968" s="137"/>
      <c r="C1968" s="16"/>
      <c r="D1968" s="126"/>
      <c r="E1968" s="40"/>
      <c r="F1968" s="215">
        <f>E1968*D1968</f>
        <v>0</v>
      </c>
      <c r="G1968" s="85"/>
      <c r="H1968" s="82"/>
      <c r="I1968" s="82"/>
      <c r="J1968" s="82"/>
      <c r="K1968" s="82"/>
    </row>
    <row r="1969" spans="1:11" x14ac:dyDescent="0.2">
      <c r="A1969" s="376"/>
      <c r="B1969" s="24" t="s">
        <v>1396</v>
      </c>
      <c r="C1969" s="16" t="s">
        <v>37</v>
      </c>
      <c r="D1969" s="24">
        <f>9.73*1.4*2</f>
        <v>27.244</v>
      </c>
      <c r="E1969" s="40"/>
      <c r="F1969" s="215">
        <f>E1969*D1969</f>
        <v>0</v>
      </c>
      <c r="G1969" s="85"/>
      <c r="H1969" s="82"/>
      <c r="I1969" s="82"/>
      <c r="J1969" s="82"/>
      <c r="K1969" s="82"/>
    </row>
    <row r="1970" spans="1:11" ht="13.5" thickBot="1" x14ac:dyDescent="0.25">
      <c r="A1970" s="376"/>
      <c r="B1970" s="30"/>
      <c r="C1970" s="16"/>
      <c r="D1970" s="126"/>
      <c r="E1970" s="40"/>
      <c r="F1970" s="215"/>
      <c r="G1970" s="85"/>
      <c r="H1970" s="82"/>
      <c r="I1970" s="82"/>
      <c r="J1970" s="82"/>
      <c r="K1970" s="82"/>
    </row>
    <row r="1971" spans="1:11" ht="15.75" thickBot="1" x14ac:dyDescent="0.25">
      <c r="A1971" s="235" t="str">
        <f>A1849</f>
        <v>11.</v>
      </c>
      <c r="B1971" s="52" t="s">
        <v>59</v>
      </c>
      <c r="C1971" s="53"/>
      <c r="D1971" s="54"/>
      <c r="E1971" s="55"/>
      <c r="F1971" s="238">
        <f>SUM(F1851:F1969)</f>
        <v>0</v>
      </c>
      <c r="G1971" s="14"/>
    </row>
    <row r="1972" spans="1:11" ht="15.75" thickBot="1" x14ac:dyDescent="0.25">
      <c r="A1972" s="239" t="s">
        <v>71</v>
      </c>
      <c r="B1972" s="61" t="s">
        <v>28</v>
      </c>
      <c r="C1972" s="62"/>
      <c r="D1972" s="63"/>
      <c r="E1972" s="63"/>
      <c r="F1972" s="241"/>
      <c r="G1972" s="14"/>
    </row>
    <row r="1973" spans="1:11" x14ac:dyDescent="0.2">
      <c r="A1973" s="376"/>
      <c r="B1973" s="25"/>
      <c r="C1973" s="25"/>
      <c r="D1973" s="25"/>
      <c r="E1973" s="68"/>
      <c r="F1973" s="242"/>
      <c r="G1973" s="85"/>
    </row>
    <row r="1974" spans="1:11" ht="51" x14ac:dyDescent="0.2">
      <c r="A1974" s="234" t="s">
        <v>263</v>
      </c>
      <c r="B1974" s="157" t="s">
        <v>618</v>
      </c>
      <c r="C1974" s="16"/>
      <c r="D1974" s="46"/>
      <c r="E1974" s="18"/>
      <c r="F1974" s="219"/>
      <c r="G1974" s="82"/>
    </row>
    <row r="1975" spans="1:11" ht="38.25" x14ac:dyDescent="0.2">
      <c r="A1975" s="231"/>
      <c r="B1975" s="157" t="s">
        <v>619</v>
      </c>
      <c r="C1975" s="16"/>
      <c r="D1975" s="46"/>
      <c r="E1975" s="18"/>
      <c r="F1975" s="219"/>
      <c r="G1975" s="82"/>
    </row>
    <row r="1976" spans="1:11" ht="25.5" x14ac:dyDescent="0.2">
      <c r="A1976" s="231"/>
      <c r="B1976" s="157" t="s">
        <v>620</v>
      </c>
      <c r="C1976" s="16"/>
      <c r="D1976" s="46"/>
      <c r="E1976" s="18"/>
      <c r="F1976" s="219"/>
      <c r="G1976" s="82"/>
    </row>
    <row r="1977" spans="1:11" ht="25.5" x14ac:dyDescent="0.2">
      <c r="A1977" s="231"/>
      <c r="B1977" s="157" t="s">
        <v>621</v>
      </c>
      <c r="C1977" s="16"/>
      <c r="D1977" s="46"/>
      <c r="E1977" s="18"/>
      <c r="F1977" s="219"/>
      <c r="G1977" s="82"/>
    </row>
    <row r="1978" spans="1:11" ht="25.5" x14ac:dyDescent="0.2">
      <c r="A1978" s="231"/>
      <c r="B1978" s="157" t="s">
        <v>622</v>
      </c>
      <c r="C1978" s="16"/>
      <c r="D1978" s="46"/>
      <c r="E1978" s="18"/>
      <c r="F1978" s="219"/>
      <c r="G1978" s="82"/>
    </row>
    <row r="1979" spans="1:11" x14ac:dyDescent="0.2">
      <c r="A1979" s="231"/>
      <c r="B1979" s="157" t="s">
        <v>623</v>
      </c>
      <c r="C1979" s="16"/>
      <c r="D1979" s="46"/>
      <c r="E1979" s="18"/>
      <c r="F1979" s="219"/>
      <c r="G1979" s="82"/>
    </row>
    <row r="1980" spans="1:11" x14ac:dyDescent="0.2">
      <c r="A1980" s="231"/>
      <c r="B1980" s="157"/>
      <c r="C1980" s="16"/>
      <c r="D1980" s="46"/>
      <c r="E1980" s="18"/>
      <c r="F1980" s="219"/>
      <c r="G1980" s="82"/>
    </row>
    <row r="1981" spans="1:11" ht="38.25" x14ac:dyDescent="0.2">
      <c r="A1981" s="399" t="s">
        <v>150</v>
      </c>
      <c r="B1981" s="157" t="s">
        <v>1400</v>
      </c>
      <c r="C1981" s="66"/>
      <c r="D1981" s="29"/>
      <c r="E1981" s="23"/>
      <c r="F1981" s="219"/>
      <c r="G1981" s="82"/>
    </row>
    <row r="1982" spans="1:11" x14ac:dyDescent="0.2">
      <c r="A1982" s="399"/>
      <c r="B1982" s="88"/>
      <c r="C1982" s="66"/>
      <c r="D1982" s="29"/>
      <c r="E1982" s="23"/>
      <c r="F1982" s="219"/>
      <c r="G1982" s="82"/>
    </row>
    <row r="1983" spans="1:11" x14ac:dyDescent="0.2">
      <c r="A1983" s="231"/>
      <c r="B1983" s="25" t="s">
        <v>26</v>
      </c>
      <c r="C1983" s="25"/>
      <c r="D1983" s="25"/>
      <c r="E1983" s="25"/>
      <c r="F1983" s="215"/>
      <c r="G1983" s="82"/>
    </row>
    <row r="1984" spans="1:11" ht="25.5" x14ac:dyDescent="0.2">
      <c r="A1984" s="231"/>
      <c r="B1984" s="26" t="s">
        <v>1401</v>
      </c>
      <c r="C1984" s="25"/>
      <c r="D1984" s="64">
        <f>4.12+4.17+4.12+4*2+5.06+1.56+5.78+2.04+4.63+4.62+4.63+4.13+5.03+5.11</f>
        <v>63</v>
      </c>
      <c r="E1984" s="25"/>
      <c r="F1984" s="215"/>
      <c r="G1984" s="82"/>
    </row>
    <row r="1985" spans="1:11" x14ac:dyDescent="0.2">
      <c r="A1985" s="231"/>
      <c r="B1985" s="25"/>
      <c r="C1985" s="25"/>
      <c r="D1985" s="25"/>
      <c r="E1985" s="25"/>
      <c r="F1985" s="219"/>
      <c r="G1985" s="82"/>
    </row>
    <row r="1986" spans="1:11" x14ac:dyDescent="0.2">
      <c r="A1986" s="231"/>
      <c r="B1986" s="25" t="s">
        <v>898</v>
      </c>
      <c r="C1986" s="25"/>
      <c r="D1986" s="25"/>
      <c r="E1986" s="25"/>
      <c r="F1986" s="219"/>
      <c r="G1986" s="82"/>
    </row>
    <row r="1987" spans="1:11" ht="38.25" x14ac:dyDescent="0.2">
      <c r="A1987" s="231"/>
      <c r="B1987" s="26" t="s">
        <v>1402</v>
      </c>
      <c r="C1987" s="25"/>
      <c r="D1987" s="26">
        <f>4*2+5.06+1.56+2.04+4.26+4.12+4.36+1.46+4.12+4.13+4.46+5.04+5.78+4.34+4.63+4.17+4.63</f>
        <v>72.16</v>
      </c>
      <c r="E1987" s="25"/>
      <c r="F1987" s="219"/>
      <c r="G1987" s="82"/>
    </row>
    <row r="1988" spans="1:11" x14ac:dyDescent="0.2">
      <c r="A1988" s="231"/>
      <c r="B1988" s="25"/>
      <c r="C1988" s="25"/>
      <c r="D1988" s="25"/>
      <c r="E1988" s="25"/>
      <c r="F1988" s="219"/>
      <c r="G1988" s="82"/>
    </row>
    <row r="1989" spans="1:11" x14ac:dyDescent="0.2">
      <c r="A1989" s="231"/>
      <c r="B1989" s="25" t="s">
        <v>899</v>
      </c>
      <c r="C1989" s="25"/>
      <c r="D1989" s="25"/>
      <c r="E1989" s="25"/>
      <c r="F1989" s="215"/>
      <c r="G1989" s="82"/>
    </row>
    <row r="1990" spans="1:11" ht="38.25" x14ac:dyDescent="0.2">
      <c r="A1990" s="231"/>
      <c r="B1990" s="26" t="s">
        <v>1403</v>
      </c>
      <c r="C1990" s="25"/>
      <c r="D1990" s="64">
        <f>2*(4*2+5.06+1.56+2.04+4.26+4.12+4.36+1.46+4.12+4.13+4.46+5.04+5.78+4.34+4.63+4.17+4.63)</f>
        <v>144.32</v>
      </c>
      <c r="E1990" s="25"/>
      <c r="F1990" s="215"/>
      <c r="G1990" s="82"/>
    </row>
    <row r="1991" spans="1:11" x14ac:dyDescent="0.2">
      <c r="A1991" s="231"/>
      <c r="B1991" s="26"/>
      <c r="C1991" s="16"/>
      <c r="D1991" s="24"/>
      <c r="E1991" s="25"/>
      <c r="F1991" s="215"/>
      <c r="G1991" s="82"/>
    </row>
    <row r="1992" spans="1:11" x14ac:dyDescent="0.2">
      <c r="A1992" s="231"/>
      <c r="B1992" s="26" t="s">
        <v>909</v>
      </c>
      <c r="C1992" s="16"/>
      <c r="D1992" s="24"/>
      <c r="E1992" s="25"/>
      <c r="F1992" s="215"/>
      <c r="G1992" s="82"/>
    </row>
    <row r="1993" spans="1:11" ht="38.25" x14ac:dyDescent="0.2">
      <c r="A1993" s="231"/>
      <c r="B1993" s="64" t="s">
        <v>1402</v>
      </c>
      <c r="C1993" s="65"/>
      <c r="D1993" s="64">
        <f>4*2+5.06+1.56+2.04+4.26+4.12+4.36+1.46+4.12+4.13+4.46+5.04+5.78+4.34+4.63+4.17+4.63</f>
        <v>72.16</v>
      </c>
      <c r="E1993" s="25"/>
      <c r="F1993" s="215"/>
      <c r="G1993" s="82"/>
    </row>
    <row r="1994" spans="1:11" x14ac:dyDescent="0.2">
      <c r="A1994" s="231"/>
      <c r="B1994" s="26"/>
      <c r="C1994" s="25"/>
      <c r="D1994" s="112"/>
      <c r="E1994" s="25"/>
      <c r="F1994" s="215"/>
      <c r="G1994" s="82"/>
    </row>
    <row r="1995" spans="1:11" x14ac:dyDescent="0.2">
      <c r="A1995" s="231"/>
      <c r="B1995" s="25" t="s">
        <v>1510</v>
      </c>
      <c r="C1995" s="16" t="s">
        <v>37</v>
      </c>
      <c r="D1995" s="64">
        <f>SUM(D1984:D1994)</f>
        <v>351.64</v>
      </c>
      <c r="E1995" s="12"/>
      <c r="F1995" s="215">
        <f>+D1995*E1995</f>
        <v>0</v>
      </c>
      <c r="G1995" s="82"/>
    </row>
    <row r="1996" spans="1:11" x14ac:dyDescent="0.2">
      <c r="A1996" s="232"/>
      <c r="B1996" s="24"/>
      <c r="C1996" s="16"/>
      <c r="D1996" s="24"/>
      <c r="E1996" s="12"/>
      <c r="F1996" s="215"/>
      <c r="G1996" s="82"/>
      <c r="H1996" s="82"/>
      <c r="I1996" s="82"/>
      <c r="J1996" s="82"/>
      <c r="K1996" s="82"/>
    </row>
    <row r="1997" spans="1:11" ht="38.25" x14ac:dyDescent="0.2">
      <c r="A1997" s="399" t="s">
        <v>151</v>
      </c>
      <c r="B1997" s="157" t="s">
        <v>713</v>
      </c>
      <c r="C1997" s="66"/>
      <c r="D1997" s="29"/>
      <c r="E1997" s="23"/>
      <c r="F1997" s="219"/>
      <c r="G1997" s="82"/>
      <c r="H1997" s="82"/>
      <c r="I1997" s="82"/>
      <c r="J1997" s="82"/>
      <c r="K1997" s="82"/>
    </row>
    <row r="1998" spans="1:11" x14ac:dyDescent="0.2">
      <c r="A1998" s="232"/>
      <c r="B1998" s="15"/>
      <c r="C1998" s="66"/>
      <c r="D1998" s="29"/>
      <c r="E1998" s="23"/>
      <c r="F1998" s="219"/>
      <c r="G1998" s="82"/>
      <c r="H1998" s="82"/>
      <c r="I1998" s="82"/>
      <c r="J1998" s="82"/>
      <c r="K1998" s="82"/>
    </row>
    <row r="1999" spans="1:11" x14ac:dyDescent="0.2">
      <c r="A1999" s="232"/>
      <c r="B1999" s="25" t="s">
        <v>26</v>
      </c>
      <c r="C1999" s="25"/>
      <c r="D1999" s="25"/>
      <c r="E1999" s="25"/>
      <c r="F1999" s="215"/>
      <c r="G1999" s="82"/>
      <c r="H1999" s="82"/>
      <c r="I1999" s="82"/>
      <c r="J1999" s="82"/>
      <c r="K1999" s="82"/>
    </row>
    <row r="2000" spans="1:11" x14ac:dyDescent="0.2">
      <c r="A2000" s="232"/>
      <c r="B2000" s="26" t="s">
        <v>1397</v>
      </c>
      <c r="C2000" s="25"/>
      <c r="D2000" s="64">
        <f>51.36+12.63+2.63+23.27</f>
        <v>89.89</v>
      </c>
      <c r="E2000" s="25"/>
      <c r="F2000" s="215"/>
      <c r="G2000" s="82"/>
      <c r="H2000" s="82"/>
      <c r="I2000" s="82"/>
      <c r="J2000" s="82"/>
      <c r="K2000" s="82"/>
    </row>
    <row r="2001" spans="1:11" x14ac:dyDescent="0.2">
      <c r="A2001" s="232"/>
      <c r="B2001" s="25"/>
      <c r="C2001" s="25"/>
      <c r="D2001" s="25"/>
      <c r="E2001" s="25"/>
      <c r="F2001" s="219"/>
      <c r="G2001" s="82"/>
      <c r="H2001" s="82"/>
      <c r="I2001" s="82"/>
      <c r="J2001" s="82"/>
      <c r="K2001" s="82"/>
    </row>
    <row r="2002" spans="1:11" x14ac:dyDescent="0.2">
      <c r="A2002" s="232"/>
      <c r="B2002" s="25" t="s">
        <v>898</v>
      </c>
      <c r="C2002" s="25"/>
      <c r="D2002" s="25"/>
      <c r="E2002" s="25"/>
      <c r="F2002" s="219"/>
      <c r="G2002" s="82"/>
      <c r="H2002" s="82"/>
      <c r="I2002" s="82"/>
      <c r="J2002" s="82"/>
      <c r="K2002" s="82"/>
    </row>
    <row r="2003" spans="1:11" ht="13.5" thickBot="1" x14ac:dyDescent="0.25">
      <c r="A2003" s="281"/>
      <c r="B2003" s="285" t="s">
        <v>1398</v>
      </c>
      <c r="C2003" s="71"/>
      <c r="D2003" s="292">
        <f>51.51+2.85*1.25</f>
        <v>55.072499999999998</v>
      </c>
      <c r="E2003" s="71"/>
      <c r="F2003" s="283"/>
      <c r="G2003" s="82"/>
      <c r="H2003" s="82"/>
      <c r="I2003" s="82"/>
      <c r="J2003" s="82"/>
      <c r="K2003" s="82"/>
    </row>
    <row r="2004" spans="1:11" x14ac:dyDescent="0.2">
      <c r="A2004" s="232"/>
      <c r="B2004" s="25"/>
      <c r="C2004" s="25"/>
      <c r="D2004" s="64"/>
      <c r="E2004" s="25"/>
      <c r="F2004" s="219"/>
      <c r="G2004" s="82"/>
      <c r="H2004" s="82"/>
      <c r="I2004" s="82"/>
      <c r="J2004" s="82"/>
      <c r="K2004" s="82"/>
    </row>
    <row r="2005" spans="1:11" x14ac:dyDescent="0.2">
      <c r="A2005" s="232"/>
      <c r="B2005" s="25" t="s">
        <v>899</v>
      </c>
      <c r="C2005" s="25"/>
      <c r="D2005" s="65"/>
      <c r="E2005" s="25"/>
      <c r="F2005" s="215"/>
      <c r="G2005" s="82"/>
      <c r="H2005" s="82"/>
      <c r="I2005" s="82"/>
      <c r="J2005" s="82"/>
      <c r="K2005" s="82"/>
    </row>
    <row r="2006" spans="1:11" x14ac:dyDescent="0.2">
      <c r="A2006" s="232"/>
      <c r="B2006" s="26" t="s">
        <v>1399</v>
      </c>
      <c r="C2006" s="25"/>
      <c r="D2006" s="64">
        <f>(51.51+2.85*1.25)*2</f>
        <v>110.145</v>
      </c>
      <c r="E2006" s="25"/>
      <c r="F2006" s="215"/>
      <c r="G2006" s="82"/>
      <c r="H2006" s="82"/>
      <c r="I2006" s="82"/>
      <c r="J2006" s="82"/>
      <c r="K2006" s="82"/>
    </row>
    <row r="2007" spans="1:11" x14ac:dyDescent="0.2">
      <c r="A2007" s="232"/>
      <c r="B2007" s="26"/>
      <c r="C2007" s="25"/>
      <c r="D2007" s="64"/>
      <c r="E2007" s="25"/>
      <c r="F2007" s="215"/>
      <c r="G2007" s="82"/>
      <c r="H2007" s="82"/>
      <c r="I2007" s="82"/>
      <c r="J2007" s="82"/>
      <c r="K2007" s="82"/>
    </row>
    <row r="2008" spans="1:11" x14ac:dyDescent="0.2">
      <c r="A2008" s="232"/>
      <c r="B2008" s="25" t="s">
        <v>909</v>
      </c>
      <c r="C2008" s="25"/>
      <c r="D2008" s="25"/>
      <c r="E2008" s="25"/>
      <c r="F2008" s="215"/>
      <c r="G2008" s="82"/>
      <c r="H2008" s="82"/>
      <c r="I2008" s="82"/>
      <c r="J2008" s="82"/>
      <c r="K2008" s="82"/>
    </row>
    <row r="2009" spans="1:11" x14ac:dyDescent="0.2">
      <c r="A2009" s="232"/>
      <c r="B2009" s="26" t="s">
        <v>1398</v>
      </c>
      <c r="C2009" s="25"/>
      <c r="D2009" s="64">
        <f>50.03+2.85*1.25</f>
        <v>53.592500000000001</v>
      </c>
      <c r="E2009" s="25"/>
      <c r="F2009" s="215"/>
      <c r="G2009" s="82"/>
      <c r="H2009" s="82"/>
      <c r="I2009" s="82"/>
      <c r="J2009" s="82"/>
      <c r="K2009" s="82"/>
    </row>
    <row r="2010" spans="1:11" x14ac:dyDescent="0.2">
      <c r="A2010" s="232"/>
      <c r="B2010" s="26"/>
      <c r="C2010" s="25"/>
      <c r="D2010" s="64"/>
      <c r="E2010" s="25"/>
      <c r="F2010" s="215"/>
      <c r="G2010" s="82"/>
      <c r="H2010" s="82"/>
      <c r="I2010" s="82"/>
      <c r="J2010" s="82"/>
      <c r="K2010" s="82"/>
    </row>
    <row r="2011" spans="1:11" x14ac:dyDescent="0.2">
      <c r="A2011" s="232"/>
      <c r="B2011" s="20" t="s">
        <v>606</v>
      </c>
      <c r="C2011" s="16" t="s">
        <v>37</v>
      </c>
      <c r="D2011" s="24">
        <f>SUM(D1997:D2010)</f>
        <v>308.70000000000005</v>
      </c>
      <c r="E2011" s="12"/>
      <c r="F2011" s="215">
        <f>+D2011*E2011</f>
        <v>0</v>
      </c>
      <c r="G2011" s="82"/>
      <c r="H2011" s="82"/>
      <c r="I2011" s="82"/>
      <c r="J2011" s="82"/>
      <c r="K2011" s="82"/>
    </row>
    <row r="2012" spans="1:11" x14ac:dyDescent="0.2">
      <c r="A2012" s="232"/>
      <c r="B2012" s="24"/>
      <c r="C2012" s="16"/>
      <c r="D2012" s="24"/>
      <c r="E2012" s="12"/>
      <c r="F2012" s="215"/>
      <c r="G2012" s="82"/>
      <c r="H2012" s="82"/>
      <c r="I2012" s="82"/>
      <c r="J2012" s="82"/>
      <c r="K2012" s="82"/>
    </row>
    <row r="2013" spans="1:11" ht="25.5" x14ac:dyDescent="0.2">
      <c r="A2013" s="399" t="s">
        <v>607</v>
      </c>
      <c r="B2013" s="157" t="s">
        <v>671</v>
      </c>
      <c r="C2013" s="66"/>
      <c r="D2013" s="29"/>
      <c r="E2013" s="23"/>
      <c r="F2013" s="219"/>
      <c r="G2013" s="82"/>
      <c r="H2013" s="82"/>
      <c r="I2013" s="82"/>
      <c r="J2013" s="82"/>
      <c r="K2013" s="82"/>
    </row>
    <row r="2014" spans="1:11" x14ac:dyDescent="0.2">
      <c r="A2014" s="232"/>
      <c r="B2014" s="15"/>
      <c r="C2014" s="66"/>
      <c r="D2014" s="29"/>
      <c r="E2014" s="23"/>
      <c r="F2014" s="219"/>
      <c r="G2014" s="82"/>
      <c r="H2014" s="82"/>
      <c r="I2014" s="82"/>
      <c r="J2014" s="82"/>
      <c r="K2014" s="82"/>
    </row>
    <row r="2015" spans="1:11" x14ac:dyDescent="0.2">
      <c r="A2015" s="232"/>
      <c r="B2015" s="25" t="s">
        <v>26</v>
      </c>
      <c r="C2015" s="25"/>
      <c r="D2015" s="25"/>
      <c r="E2015" s="25"/>
      <c r="F2015" s="215"/>
      <c r="G2015" s="82"/>
      <c r="H2015" s="82"/>
      <c r="I2015" s="82"/>
      <c r="J2015" s="82"/>
      <c r="K2015" s="82"/>
    </row>
    <row r="2016" spans="1:11" x14ac:dyDescent="0.2">
      <c r="A2016" s="232"/>
      <c r="B2016" s="26" t="s">
        <v>1404</v>
      </c>
      <c r="C2016" s="25"/>
      <c r="D2016" s="64">
        <f>3.51*4+4.1+4.2</f>
        <v>22.34</v>
      </c>
      <c r="E2016" s="25"/>
      <c r="F2016" s="215"/>
      <c r="G2016" s="82"/>
      <c r="H2016" s="82"/>
      <c r="I2016" s="82"/>
      <c r="J2016" s="82"/>
      <c r="K2016" s="82"/>
    </row>
    <row r="2017" spans="1:11" x14ac:dyDescent="0.2">
      <c r="A2017" s="232"/>
      <c r="B2017" s="25"/>
      <c r="C2017" s="25"/>
      <c r="D2017" s="65"/>
      <c r="E2017" s="25"/>
      <c r="F2017" s="219"/>
      <c r="G2017" s="82"/>
      <c r="H2017" s="82"/>
      <c r="I2017" s="82"/>
      <c r="J2017" s="82"/>
      <c r="K2017" s="82"/>
    </row>
    <row r="2018" spans="1:11" x14ac:dyDescent="0.2">
      <c r="A2018" s="232"/>
      <c r="B2018" s="25" t="s">
        <v>898</v>
      </c>
      <c r="C2018" s="25"/>
      <c r="D2018" s="65"/>
      <c r="E2018" s="25"/>
      <c r="F2018" s="219"/>
      <c r="G2018" s="82"/>
      <c r="H2018" s="82"/>
      <c r="I2018" s="82"/>
      <c r="J2018" s="82"/>
      <c r="K2018" s="82"/>
    </row>
    <row r="2019" spans="1:11" x14ac:dyDescent="0.2">
      <c r="A2019" s="232"/>
      <c r="B2019" s="26" t="s">
        <v>1405</v>
      </c>
      <c r="C2019" s="25"/>
      <c r="D2019" s="64">
        <f>3.51*6+4.1+4.2</f>
        <v>29.359999999999996</v>
      </c>
      <c r="E2019" s="25"/>
      <c r="F2019" s="219"/>
      <c r="G2019" s="82"/>
      <c r="H2019" s="82"/>
      <c r="I2019" s="82"/>
      <c r="J2019" s="82"/>
      <c r="K2019" s="82"/>
    </row>
    <row r="2020" spans="1:11" x14ac:dyDescent="0.2">
      <c r="A2020" s="232"/>
      <c r="B2020" s="25"/>
      <c r="C2020" s="25"/>
      <c r="D2020" s="65"/>
      <c r="E2020" s="25"/>
      <c r="F2020" s="219"/>
      <c r="G2020" s="82"/>
      <c r="H2020" s="82"/>
      <c r="I2020" s="82"/>
      <c r="J2020" s="82"/>
      <c r="K2020" s="82"/>
    </row>
    <row r="2021" spans="1:11" x14ac:dyDescent="0.2">
      <c r="A2021" s="232"/>
      <c r="B2021" s="25" t="s">
        <v>899</v>
      </c>
      <c r="C2021" s="25"/>
      <c r="D2021" s="65"/>
      <c r="E2021" s="25"/>
      <c r="F2021" s="215"/>
      <c r="G2021" s="82"/>
      <c r="H2021" s="82"/>
      <c r="I2021" s="82"/>
      <c r="J2021" s="82"/>
      <c r="K2021" s="82"/>
    </row>
    <row r="2022" spans="1:11" x14ac:dyDescent="0.2">
      <c r="A2022" s="232"/>
      <c r="B2022" s="26" t="s">
        <v>1406</v>
      </c>
      <c r="C2022" s="25"/>
      <c r="D2022" s="64">
        <f>(3.51*6+4.1+4.2)*3</f>
        <v>88.079999999999984</v>
      </c>
      <c r="E2022" s="25"/>
      <c r="F2022" s="215"/>
      <c r="G2022" s="82"/>
      <c r="H2022" s="82"/>
      <c r="I2022" s="82"/>
      <c r="J2022" s="82"/>
      <c r="K2022" s="82"/>
    </row>
    <row r="2023" spans="1:11" x14ac:dyDescent="0.2">
      <c r="A2023" s="232"/>
      <c r="B2023" s="88"/>
      <c r="C2023" s="25"/>
      <c r="D2023" s="65"/>
      <c r="E2023" s="25"/>
      <c r="F2023" s="215"/>
      <c r="G2023" s="82"/>
      <c r="H2023" s="82"/>
      <c r="I2023" s="82"/>
      <c r="J2023" s="82"/>
      <c r="K2023" s="82"/>
    </row>
    <row r="2024" spans="1:11" x14ac:dyDescent="0.2">
      <c r="A2024" s="232"/>
      <c r="B2024" s="26" t="s">
        <v>909</v>
      </c>
      <c r="C2024" s="25"/>
      <c r="D2024" s="65"/>
      <c r="E2024" s="25"/>
      <c r="F2024" s="215"/>
      <c r="G2024" s="82"/>
      <c r="H2024" s="82"/>
      <c r="I2024" s="82"/>
      <c r="J2024" s="82"/>
      <c r="K2024" s="82"/>
    </row>
    <row r="2025" spans="1:11" x14ac:dyDescent="0.2">
      <c r="A2025" s="232"/>
      <c r="B2025" s="26" t="s">
        <v>1405</v>
      </c>
      <c r="C2025" s="25"/>
      <c r="D2025" s="64">
        <f>3.51*6+4.1+4.2</f>
        <v>29.359999999999996</v>
      </c>
      <c r="E2025" s="25"/>
      <c r="F2025" s="215"/>
      <c r="G2025" s="82"/>
      <c r="H2025" s="82"/>
      <c r="I2025" s="82"/>
      <c r="J2025" s="82"/>
      <c r="K2025" s="82"/>
    </row>
    <row r="2026" spans="1:11" x14ac:dyDescent="0.2">
      <c r="A2026" s="232"/>
      <c r="B2026" s="88"/>
      <c r="C2026" s="25"/>
      <c r="D2026" s="25"/>
      <c r="E2026" s="25"/>
      <c r="F2026" s="215"/>
      <c r="G2026" s="82"/>
      <c r="H2026" s="82"/>
      <c r="I2026" s="82"/>
      <c r="J2026" s="82"/>
      <c r="K2026" s="82"/>
    </row>
    <row r="2027" spans="1:11" x14ac:dyDescent="0.2">
      <c r="A2027" s="232"/>
      <c r="B2027" s="25" t="s">
        <v>608</v>
      </c>
      <c r="C2027" s="16" t="s">
        <v>37</v>
      </c>
      <c r="D2027" s="29">
        <f>SUM(D2016:D2026)</f>
        <v>169.13999999999996</v>
      </c>
      <c r="E2027" s="12"/>
      <c r="F2027" s="215">
        <f>+D2027*E2027</f>
        <v>0</v>
      </c>
      <c r="G2027" s="82"/>
      <c r="H2027" s="82"/>
      <c r="I2027" s="82"/>
      <c r="J2027" s="82"/>
      <c r="K2027" s="82"/>
    </row>
    <row r="2028" spans="1:11" x14ac:dyDescent="0.2">
      <c r="A2028" s="232"/>
      <c r="B2028" s="24"/>
      <c r="C2028" s="16"/>
      <c r="D2028" s="24"/>
      <c r="E2028" s="12"/>
      <c r="F2028" s="215"/>
      <c r="G2028" s="82"/>
      <c r="H2028" s="82"/>
      <c r="I2028" s="82"/>
      <c r="J2028" s="82"/>
      <c r="K2028" s="82"/>
    </row>
    <row r="2029" spans="1:11" ht="25.5" x14ac:dyDescent="0.2">
      <c r="A2029" s="399" t="s">
        <v>684</v>
      </c>
      <c r="B2029" s="157" t="s">
        <v>818</v>
      </c>
      <c r="C2029" s="16"/>
      <c r="D2029" s="24"/>
      <c r="E2029" s="12"/>
      <c r="F2029" s="215"/>
      <c r="G2029" s="82"/>
      <c r="H2029" s="82"/>
      <c r="I2029" s="82"/>
      <c r="J2029" s="82"/>
      <c r="K2029" s="82"/>
    </row>
    <row r="2030" spans="1:11" x14ac:dyDescent="0.2">
      <c r="A2030" s="232"/>
      <c r="B2030" s="31" t="s">
        <v>789</v>
      </c>
      <c r="C2030" s="16" t="s">
        <v>37</v>
      </c>
      <c r="D2030" s="31">
        <f>2.1*1.1</f>
        <v>2.3100000000000005</v>
      </c>
      <c r="E2030" s="12"/>
      <c r="F2030" s="215">
        <f>E2030*D2030</f>
        <v>0</v>
      </c>
      <c r="G2030" s="82"/>
      <c r="H2030" s="82"/>
      <c r="I2030" s="82"/>
      <c r="J2030" s="82"/>
      <c r="K2030" s="82"/>
    </row>
    <row r="2031" spans="1:11" x14ac:dyDescent="0.2">
      <c r="A2031" s="232"/>
      <c r="B2031" s="24"/>
      <c r="C2031" s="16"/>
      <c r="D2031" s="24"/>
      <c r="E2031" s="12"/>
      <c r="F2031" s="215"/>
      <c r="G2031" s="82"/>
      <c r="H2031" s="82"/>
      <c r="I2031" s="82"/>
      <c r="J2031" s="82"/>
      <c r="K2031" s="82"/>
    </row>
    <row r="2032" spans="1:11" ht="38.25" x14ac:dyDescent="0.2">
      <c r="A2032" s="234" t="s">
        <v>149</v>
      </c>
      <c r="B2032" s="35" t="s">
        <v>624</v>
      </c>
      <c r="C2032" s="16"/>
      <c r="D2032" s="42"/>
      <c r="E2032" s="20"/>
      <c r="F2032" s="219"/>
    </row>
    <row r="2033" spans="1:11" ht="76.5" x14ac:dyDescent="0.2">
      <c r="A2033" s="231"/>
      <c r="B2033" s="35" t="s">
        <v>625</v>
      </c>
      <c r="C2033" s="16"/>
      <c r="D2033" s="42"/>
      <c r="E2033" s="20"/>
      <c r="F2033" s="219"/>
    </row>
    <row r="2034" spans="1:11" s="82" customFormat="1" x14ac:dyDescent="0.2">
      <c r="A2034" s="231"/>
      <c r="B2034" s="15" t="s">
        <v>93</v>
      </c>
      <c r="C2034" s="16"/>
      <c r="D2034" s="42"/>
      <c r="E2034" s="20"/>
      <c r="F2034" s="219"/>
      <c r="G2034" s="196"/>
    </row>
    <row r="2035" spans="1:11" s="82" customFormat="1" x14ac:dyDescent="0.2">
      <c r="A2035" s="231"/>
      <c r="B2035" s="15"/>
      <c r="C2035" s="16"/>
      <c r="D2035" s="42"/>
      <c r="E2035" s="20"/>
      <c r="F2035" s="219"/>
      <c r="G2035" s="197"/>
    </row>
    <row r="2036" spans="1:11" ht="25.5" x14ac:dyDescent="0.2">
      <c r="A2036" s="399" t="s">
        <v>278</v>
      </c>
      <c r="B2036" s="158" t="s">
        <v>573</v>
      </c>
      <c r="C2036" s="16"/>
      <c r="D2036" s="42"/>
      <c r="E2036" s="20"/>
      <c r="F2036" s="219"/>
    </row>
    <row r="2037" spans="1:11" x14ac:dyDescent="0.2">
      <c r="A2037" s="231"/>
      <c r="B2037" s="43"/>
      <c r="C2037" s="16"/>
      <c r="D2037" s="42"/>
      <c r="E2037" s="20"/>
      <c r="F2037" s="219"/>
    </row>
    <row r="2038" spans="1:11" x14ac:dyDescent="0.2">
      <c r="A2038" s="231"/>
      <c r="B2038" s="25" t="s">
        <v>26</v>
      </c>
      <c r="C2038" s="25"/>
      <c r="D2038" s="25"/>
      <c r="E2038" s="20"/>
      <c r="F2038" s="219"/>
    </row>
    <row r="2039" spans="1:11" x14ac:dyDescent="0.2">
      <c r="A2039" s="231"/>
      <c r="B2039" s="26" t="s">
        <v>1407</v>
      </c>
      <c r="C2039" s="25"/>
      <c r="D2039" s="64">
        <f>8.83+8.42+8.83+8.25+8.72+9.23+10</f>
        <v>62.28</v>
      </c>
      <c r="E2039" s="20"/>
      <c r="F2039" s="219"/>
    </row>
    <row r="2040" spans="1:11" x14ac:dyDescent="0.2">
      <c r="A2040" s="231"/>
      <c r="B2040" s="25"/>
      <c r="C2040" s="25"/>
      <c r="D2040" s="25"/>
      <c r="E2040" s="20"/>
      <c r="F2040" s="219"/>
    </row>
    <row r="2041" spans="1:11" x14ac:dyDescent="0.2">
      <c r="A2041" s="231"/>
      <c r="B2041" s="25" t="s">
        <v>898</v>
      </c>
      <c r="C2041" s="25"/>
      <c r="D2041" s="25"/>
      <c r="E2041" s="20"/>
      <c r="F2041" s="219"/>
    </row>
    <row r="2042" spans="1:11" ht="26.25" thickBot="1" x14ac:dyDescent="0.25">
      <c r="A2042" s="421"/>
      <c r="B2042" s="285" t="s">
        <v>1408</v>
      </c>
      <c r="C2042" s="71"/>
      <c r="D2042" s="292">
        <f>8.37+8.72+10+9.23+8.54+8.83+8.6+8.83</f>
        <v>71.12</v>
      </c>
      <c r="E2042" s="291"/>
      <c r="F2042" s="283"/>
    </row>
    <row r="2043" spans="1:11" x14ac:dyDescent="0.2">
      <c r="A2043" s="231"/>
      <c r="B2043" s="26"/>
      <c r="C2043" s="25"/>
      <c r="D2043" s="64"/>
      <c r="E2043" s="20"/>
      <c r="F2043" s="219"/>
    </row>
    <row r="2044" spans="1:11" x14ac:dyDescent="0.2">
      <c r="A2044" s="231"/>
      <c r="B2044" s="25" t="s">
        <v>899</v>
      </c>
      <c r="C2044" s="25"/>
      <c r="D2044" s="65"/>
      <c r="E2044" s="20"/>
      <c r="F2044" s="219"/>
    </row>
    <row r="2045" spans="1:11" s="82" customFormat="1" ht="25.5" x14ac:dyDescent="0.2">
      <c r="A2045" s="231"/>
      <c r="B2045" s="26" t="s">
        <v>1409</v>
      </c>
      <c r="C2045" s="25"/>
      <c r="D2045" s="64">
        <f>(8.37+8.72+10+9.23+8.54+8.83+8.6+8.83)*2</f>
        <v>142.24</v>
      </c>
      <c r="E2045" s="20"/>
      <c r="F2045" s="219"/>
      <c r="G2045" s="8"/>
      <c r="H2045" s="8"/>
      <c r="I2045" s="8"/>
      <c r="J2045" s="8"/>
      <c r="K2045" s="8"/>
    </row>
    <row r="2046" spans="1:11" s="82" customFormat="1" x14ac:dyDescent="0.2">
      <c r="A2046" s="231"/>
      <c r="B2046" s="26"/>
      <c r="C2046" s="25"/>
      <c r="D2046" s="64"/>
      <c r="E2046" s="20"/>
      <c r="F2046" s="219"/>
      <c r="G2046" s="8"/>
      <c r="H2046" s="8"/>
      <c r="I2046" s="8"/>
      <c r="J2046" s="8"/>
      <c r="K2046" s="8"/>
    </row>
    <row r="2047" spans="1:11" s="82" customFormat="1" x14ac:dyDescent="0.2">
      <c r="A2047" s="231"/>
      <c r="B2047" s="26" t="s">
        <v>909</v>
      </c>
      <c r="C2047" s="25"/>
      <c r="D2047" s="64"/>
      <c r="E2047" s="20"/>
      <c r="F2047" s="219"/>
      <c r="G2047" s="8"/>
      <c r="H2047" s="8"/>
      <c r="I2047" s="8"/>
      <c r="J2047" s="8"/>
      <c r="K2047" s="8"/>
    </row>
    <row r="2048" spans="1:11" s="82" customFormat="1" ht="25.5" x14ac:dyDescent="0.2">
      <c r="A2048" s="231"/>
      <c r="B2048" s="26" t="s">
        <v>1408</v>
      </c>
      <c r="C2048" s="25"/>
      <c r="D2048" s="64">
        <f>8.37+8.72+10+9.23+8.54+8.83+8.6+8.83</f>
        <v>71.12</v>
      </c>
      <c r="E2048" s="20"/>
      <c r="F2048" s="219"/>
      <c r="G2048" s="8"/>
      <c r="H2048" s="8"/>
      <c r="I2048" s="8"/>
      <c r="J2048" s="8"/>
      <c r="K2048" s="8"/>
    </row>
    <row r="2049" spans="1:11" s="82" customFormat="1" x14ac:dyDescent="0.2">
      <c r="A2049" s="231"/>
      <c r="B2049" s="26"/>
      <c r="C2049" s="25"/>
      <c r="D2049" s="64"/>
      <c r="E2049" s="20"/>
      <c r="F2049" s="219"/>
      <c r="G2049" s="8"/>
      <c r="H2049" s="8"/>
      <c r="I2049" s="8"/>
      <c r="J2049" s="8"/>
      <c r="K2049" s="8"/>
    </row>
    <row r="2050" spans="1:11" x14ac:dyDescent="0.2">
      <c r="A2050" s="231"/>
      <c r="B2050" s="43" t="s">
        <v>281</v>
      </c>
      <c r="C2050" s="16" t="s">
        <v>38</v>
      </c>
      <c r="D2050" s="42">
        <f>SUM(D2038:D2049)</f>
        <v>346.76</v>
      </c>
      <c r="E2050" s="12"/>
      <c r="F2050" s="219">
        <f>E2050*D2050</f>
        <v>0</v>
      </c>
    </row>
    <row r="2051" spans="1:11" x14ac:dyDescent="0.2">
      <c r="A2051" s="231"/>
      <c r="B2051" s="43"/>
      <c r="C2051" s="16"/>
      <c r="D2051" s="42"/>
      <c r="E2051" s="20"/>
      <c r="F2051" s="219"/>
    </row>
    <row r="2052" spans="1:11" ht="25.5" x14ac:dyDescent="0.2">
      <c r="A2052" s="399" t="s">
        <v>279</v>
      </c>
      <c r="B2052" s="158" t="s">
        <v>572</v>
      </c>
      <c r="C2052" s="16"/>
      <c r="D2052" s="24"/>
      <c r="E2052" s="20"/>
      <c r="F2052" s="219"/>
    </row>
    <row r="2053" spans="1:11" x14ac:dyDescent="0.2">
      <c r="A2053" s="231"/>
      <c r="B2053" s="25" t="s">
        <v>26</v>
      </c>
      <c r="C2053" s="25"/>
      <c r="D2053" s="25"/>
      <c r="E2053" s="20"/>
      <c r="F2053" s="219"/>
    </row>
    <row r="2054" spans="1:11" x14ac:dyDescent="0.2">
      <c r="A2054" s="231"/>
      <c r="B2054" s="26" t="s">
        <v>1412</v>
      </c>
      <c r="C2054" s="25"/>
      <c r="D2054" s="64">
        <f>66.69+16.72+6.78+19.38+2.85+2*1.25</f>
        <v>114.91999999999999</v>
      </c>
      <c r="E2054" s="20"/>
      <c r="F2054" s="219"/>
    </row>
    <row r="2055" spans="1:11" x14ac:dyDescent="0.2">
      <c r="A2055" s="231"/>
      <c r="B2055" s="25"/>
      <c r="C2055" s="25"/>
      <c r="D2055" s="25"/>
      <c r="E2055" s="20"/>
      <c r="F2055" s="219"/>
    </row>
    <row r="2056" spans="1:11" x14ac:dyDescent="0.2">
      <c r="A2056" s="231"/>
      <c r="B2056" s="25" t="s">
        <v>898</v>
      </c>
      <c r="C2056" s="25"/>
      <c r="D2056" s="25"/>
      <c r="E2056" s="20"/>
      <c r="F2056" s="219"/>
    </row>
    <row r="2057" spans="1:11" x14ac:dyDescent="0.2">
      <c r="A2057" s="231"/>
      <c r="B2057" s="26" t="s">
        <v>1410</v>
      </c>
      <c r="C2057" s="25"/>
      <c r="D2057" s="64">
        <f>66.69+2.85+2*1.25</f>
        <v>72.039999999999992</v>
      </c>
      <c r="E2057" s="20"/>
      <c r="F2057" s="219"/>
    </row>
    <row r="2058" spans="1:11" x14ac:dyDescent="0.2">
      <c r="A2058" s="231"/>
      <c r="B2058" s="25"/>
      <c r="C2058" s="25"/>
      <c r="D2058" s="64"/>
      <c r="E2058" s="20"/>
      <c r="F2058" s="219"/>
    </row>
    <row r="2059" spans="1:11" x14ac:dyDescent="0.2">
      <c r="A2059" s="231"/>
      <c r="B2059" s="25" t="s">
        <v>899</v>
      </c>
      <c r="C2059" s="25"/>
      <c r="D2059" s="65"/>
      <c r="E2059" s="20"/>
      <c r="F2059" s="219"/>
    </row>
    <row r="2060" spans="1:11" x14ac:dyDescent="0.2">
      <c r="A2060" s="231"/>
      <c r="B2060" s="26" t="s">
        <v>1411</v>
      </c>
      <c r="C2060" s="25"/>
      <c r="D2060" s="64">
        <f>(66.69+2.85+2*1.25)*2</f>
        <v>144.07999999999998</v>
      </c>
      <c r="E2060" s="20"/>
      <c r="F2060" s="219"/>
    </row>
    <row r="2061" spans="1:11" x14ac:dyDescent="0.2">
      <c r="A2061" s="231"/>
      <c r="B2061" s="26"/>
      <c r="C2061" s="25"/>
      <c r="D2061" s="64"/>
      <c r="E2061" s="20"/>
      <c r="F2061" s="219"/>
    </row>
    <row r="2062" spans="1:11" x14ac:dyDescent="0.2">
      <c r="A2062" s="231"/>
      <c r="B2062" s="26" t="s">
        <v>909</v>
      </c>
      <c r="C2062" s="25"/>
      <c r="D2062" s="64"/>
      <c r="E2062" s="20"/>
      <c r="F2062" s="219"/>
    </row>
    <row r="2063" spans="1:11" x14ac:dyDescent="0.2">
      <c r="A2063" s="231"/>
      <c r="B2063" s="26" t="s">
        <v>1410</v>
      </c>
      <c r="C2063" s="25"/>
      <c r="D2063" s="64">
        <f>66.69+2.85+2*1.25</f>
        <v>72.039999999999992</v>
      </c>
      <c r="E2063" s="20"/>
      <c r="F2063" s="219"/>
    </row>
    <row r="2064" spans="1:11" x14ac:dyDescent="0.2">
      <c r="A2064" s="231"/>
      <c r="B2064" s="26"/>
      <c r="C2064" s="25"/>
      <c r="D2064" s="64"/>
      <c r="E2064" s="20"/>
      <c r="F2064" s="219"/>
    </row>
    <row r="2065" spans="1:6" x14ac:dyDescent="0.2">
      <c r="A2065" s="231"/>
      <c r="B2065" s="43" t="s">
        <v>605</v>
      </c>
      <c r="C2065" s="16" t="s">
        <v>38</v>
      </c>
      <c r="D2065" s="42">
        <f>SUM(D2054:D2064)</f>
        <v>403.07999999999993</v>
      </c>
      <c r="E2065" s="12"/>
      <c r="F2065" s="219">
        <f>E2065*D2065</f>
        <v>0</v>
      </c>
    </row>
    <row r="2066" spans="1:6" x14ac:dyDescent="0.2">
      <c r="A2066" s="231"/>
      <c r="B2066" s="100"/>
      <c r="C2066" s="16"/>
      <c r="D2066" s="24"/>
      <c r="E2066" s="20"/>
      <c r="F2066" s="219"/>
    </row>
    <row r="2067" spans="1:6" ht="25.5" x14ac:dyDescent="0.2">
      <c r="A2067" s="231"/>
      <c r="B2067" s="158" t="s">
        <v>574</v>
      </c>
      <c r="C2067" s="16"/>
      <c r="D2067" s="24"/>
      <c r="E2067" s="20"/>
      <c r="F2067" s="219"/>
    </row>
    <row r="2068" spans="1:6" x14ac:dyDescent="0.2">
      <c r="A2068" s="231"/>
      <c r="B2068" s="100"/>
      <c r="C2068" s="16"/>
      <c r="D2068" s="24"/>
      <c r="E2068" s="20"/>
      <c r="F2068" s="219"/>
    </row>
    <row r="2069" spans="1:6" x14ac:dyDescent="0.2">
      <c r="A2069" s="231"/>
      <c r="B2069" s="25" t="s">
        <v>26</v>
      </c>
      <c r="C2069" s="16"/>
      <c r="D2069" s="24"/>
      <c r="E2069" s="20"/>
      <c r="F2069" s="219"/>
    </row>
    <row r="2070" spans="1:6" x14ac:dyDescent="0.2">
      <c r="A2070" s="231"/>
      <c r="B2070" s="13" t="s">
        <v>1413</v>
      </c>
      <c r="C2070" s="16"/>
      <c r="D2070" s="13">
        <f>8.27*4+8+8.27</f>
        <v>49.349999999999994</v>
      </c>
      <c r="E2070" s="20"/>
      <c r="F2070" s="219"/>
    </row>
    <row r="2071" spans="1:6" x14ac:dyDescent="0.2">
      <c r="A2071" s="231"/>
      <c r="B2071" s="25"/>
      <c r="C2071" s="16"/>
      <c r="D2071" s="24"/>
      <c r="E2071" s="20"/>
      <c r="F2071" s="219"/>
    </row>
    <row r="2072" spans="1:6" x14ac:dyDescent="0.2">
      <c r="A2072" s="231"/>
      <c r="B2072" s="25" t="s">
        <v>898</v>
      </c>
      <c r="C2072" s="16"/>
      <c r="D2072" s="24"/>
      <c r="E2072" s="20"/>
      <c r="F2072" s="219"/>
    </row>
    <row r="2073" spans="1:6" x14ac:dyDescent="0.2">
      <c r="A2073" s="231"/>
      <c r="B2073" s="26" t="s">
        <v>1414</v>
      </c>
      <c r="C2073" s="16"/>
      <c r="D2073" s="64">
        <f>8.27*6+8+8.27</f>
        <v>65.89</v>
      </c>
      <c r="E2073" s="20"/>
      <c r="F2073" s="219"/>
    </row>
    <row r="2074" spans="1:6" x14ac:dyDescent="0.2">
      <c r="A2074" s="231"/>
      <c r="B2074" s="25"/>
      <c r="C2074" s="16"/>
      <c r="D2074" s="24"/>
      <c r="E2074" s="20"/>
      <c r="F2074" s="219"/>
    </row>
    <row r="2075" spans="1:6" x14ac:dyDescent="0.2">
      <c r="A2075" s="231"/>
      <c r="B2075" s="25" t="s">
        <v>899</v>
      </c>
      <c r="C2075" s="16"/>
      <c r="D2075" s="24"/>
      <c r="E2075" s="20"/>
      <c r="F2075" s="219"/>
    </row>
    <row r="2076" spans="1:6" x14ac:dyDescent="0.2">
      <c r="A2076" s="231"/>
      <c r="B2076" s="26" t="s">
        <v>1415</v>
      </c>
      <c r="C2076" s="16"/>
      <c r="D2076" s="64">
        <f>(8.27*6+8+8.27)*2</f>
        <v>131.78</v>
      </c>
      <c r="E2076" s="20"/>
      <c r="F2076" s="219"/>
    </row>
    <row r="2077" spans="1:6" x14ac:dyDescent="0.2">
      <c r="A2077" s="231"/>
      <c r="B2077" s="26"/>
      <c r="C2077" s="16"/>
      <c r="D2077" s="24"/>
      <c r="E2077" s="20"/>
      <c r="F2077" s="219"/>
    </row>
    <row r="2078" spans="1:6" x14ac:dyDescent="0.2">
      <c r="A2078" s="231"/>
      <c r="B2078" s="26" t="s">
        <v>909</v>
      </c>
      <c r="C2078" s="16"/>
      <c r="D2078" s="24"/>
      <c r="E2078" s="20"/>
      <c r="F2078" s="219"/>
    </row>
    <row r="2079" spans="1:6" x14ac:dyDescent="0.2">
      <c r="A2079" s="231"/>
      <c r="B2079" s="26" t="s">
        <v>1414</v>
      </c>
      <c r="C2079" s="16"/>
      <c r="D2079" s="64">
        <f>8.27*6+8+8.27</f>
        <v>65.89</v>
      </c>
      <c r="E2079" s="20"/>
      <c r="F2079" s="219"/>
    </row>
    <row r="2080" spans="1:6" x14ac:dyDescent="0.2">
      <c r="A2080" s="231"/>
      <c r="B2080" s="26"/>
      <c r="C2080" s="16"/>
      <c r="D2080" s="24"/>
      <c r="E2080" s="20"/>
      <c r="F2080" s="219"/>
    </row>
    <row r="2081" spans="1:6" x14ac:dyDescent="0.2">
      <c r="A2081" s="231"/>
      <c r="B2081" s="43" t="s">
        <v>280</v>
      </c>
      <c r="C2081" s="16" t="s">
        <v>38</v>
      </c>
      <c r="D2081" s="42">
        <f>SUM(D2068:D2080)</f>
        <v>312.90999999999997</v>
      </c>
      <c r="E2081" s="12"/>
      <c r="F2081" s="219">
        <f>E2081*D2081</f>
        <v>0</v>
      </c>
    </row>
    <row r="2082" spans="1:6" x14ac:dyDescent="0.2">
      <c r="A2082" s="231"/>
      <c r="B2082" s="43"/>
      <c r="C2082" s="16"/>
      <c r="D2082" s="42"/>
      <c r="E2082" s="12"/>
      <c r="F2082" s="219"/>
    </row>
    <row r="2083" spans="1:6" ht="25.5" x14ac:dyDescent="0.2">
      <c r="A2083" s="399" t="s">
        <v>679</v>
      </c>
      <c r="B2083" s="158" t="s">
        <v>678</v>
      </c>
      <c r="C2083" s="16"/>
      <c r="D2083" s="42"/>
      <c r="E2083" s="12"/>
      <c r="F2083" s="219"/>
    </row>
    <row r="2084" spans="1:6" x14ac:dyDescent="0.2">
      <c r="A2084" s="231"/>
      <c r="B2084" s="158"/>
      <c r="C2084" s="16"/>
      <c r="D2084" s="42"/>
      <c r="E2084" s="12"/>
      <c r="F2084" s="219"/>
    </row>
    <row r="2085" spans="1:6" x14ac:dyDescent="0.2">
      <c r="A2085" s="231"/>
      <c r="B2085" s="25" t="s">
        <v>26</v>
      </c>
      <c r="C2085" s="41"/>
      <c r="D2085" s="105"/>
      <c r="E2085" s="25"/>
      <c r="F2085" s="242"/>
    </row>
    <row r="2086" spans="1:6" x14ac:dyDescent="0.2">
      <c r="A2086" s="231"/>
      <c r="B2086" s="26" t="s">
        <v>636</v>
      </c>
      <c r="C2086" s="41"/>
      <c r="D2086" s="26">
        <f>(0.3+0.16)*9*2+(0.15+0.3)*6*2</f>
        <v>13.68</v>
      </c>
      <c r="E2086" s="25"/>
      <c r="F2086" s="242"/>
    </row>
    <row r="2087" spans="1:6" x14ac:dyDescent="0.2">
      <c r="A2087" s="231"/>
      <c r="B2087" s="103"/>
      <c r="C2087" s="41"/>
      <c r="D2087" s="103"/>
      <c r="E2087" s="25"/>
      <c r="F2087" s="242"/>
    </row>
    <row r="2088" spans="1:6" x14ac:dyDescent="0.2">
      <c r="A2088" s="231"/>
      <c r="B2088" s="25" t="s">
        <v>898</v>
      </c>
      <c r="C2088" s="41"/>
      <c r="D2088" s="105"/>
      <c r="E2088" s="25"/>
      <c r="F2088" s="242"/>
    </row>
    <row r="2089" spans="1:6" ht="13.5" thickBot="1" x14ac:dyDescent="0.25">
      <c r="A2089" s="421"/>
      <c r="B2089" s="285" t="s">
        <v>609</v>
      </c>
      <c r="C2089" s="302"/>
      <c r="D2089" s="285">
        <f>(0.3+0.16)*9*2</f>
        <v>8.2799999999999994</v>
      </c>
      <c r="E2089" s="71"/>
      <c r="F2089" s="380"/>
    </row>
    <row r="2090" spans="1:6" x14ac:dyDescent="0.2">
      <c r="A2090" s="231"/>
      <c r="B2090" s="25"/>
      <c r="C2090" s="41"/>
      <c r="D2090" s="105"/>
      <c r="E2090" s="25"/>
      <c r="F2090" s="242"/>
    </row>
    <row r="2091" spans="1:6" x14ac:dyDescent="0.2">
      <c r="A2091" s="231"/>
      <c r="B2091" s="25" t="s">
        <v>899</v>
      </c>
      <c r="C2091" s="41"/>
      <c r="D2091" s="105"/>
      <c r="E2091" s="25"/>
      <c r="F2091" s="242"/>
    </row>
    <row r="2092" spans="1:6" x14ac:dyDescent="0.2">
      <c r="A2092" s="231"/>
      <c r="B2092" s="26" t="s">
        <v>1077</v>
      </c>
      <c r="C2092" s="41"/>
      <c r="D2092" s="26">
        <f>(0.3+0.16)*9*2*2</f>
        <v>16.559999999999999</v>
      </c>
      <c r="E2092" s="25"/>
      <c r="F2092" s="242"/>
    </row>
    <row r="2093" spans="1:6" x14ac:dyDescent="0.2">
      <c r="A2093" s="231"/>
      <c r="B2093" s="26"/>
      <c r="C2093" s="41"/>
      <c r="D2093" s="26"/>
      <c r="E2093" s="25"/>
      <c r="F2093" s="242"/>
    </row>
    <row r="2094" spans="1:6" x14ac:dyDescent="0.2">
      <c r="A2094" s="231"/>
      <c r="B2094" s="26" t="s">
        <v>909</v>
      </c>
      <c r="C2094" s="41"/>
      <c r="D2094" s="26"/>
      <c r="E2094" s="25"/>
      <c r="F2094" s="242"/>
    </row>
    <row r="2095" spans="1:6" x14ac:dyDescent="0.2">
      <c r="A2095" s="231"/>
      <c r="B2095" s="26" t="s">
        <v>609</v>
      </c>
      <c r="C2095" s="41"/>
      <c r="D2095" s="26">
        <f>(0.3+0.16)*9*2</f>
        <v>8.2799999999999994</v>
      </c>
      <c r="E2095" s="25"/>
      <c r="F2095" s="242"/>
    </row>
    <row r="2096" spans="1:6" x14ac:dyDescent="0.2">
      <c r="A2096" s="231"/>
      <c r="B2096" s="67"/>
      <c r="C2096" s="41"/>
      <c r="D2096" s="105"/>
      <c r="E2096" s="25"/>
      <c r="F2096" s="242"/>
    </row>
    <row r="2097" spans="1:11" x14ac:dyDescent="0.2">
      <c r="A2097" s="231"/>
      <c r="B2097" s="67" t="s">
        <v>1511</v>
      </c>
      <c r="C2097" s="41" t="s">
        <v>38</v>
      </c>
      <c r="D2097" s="105">
        <f>SUM(D2086:D2096)</f>
        <v>46.8</v>
      </c>
      <c r="E2097" s="12"/>
      <c r="F2097" s="215">
        <f>+D2097*E2097</f>
        <v>0</v>
      </c>
    </row>
    <row r="2098" spans="1:11" x14ac:dyDescent="0.2">
      <c r="A2098" s="234"/>
      <c r="B2098" s="35"/>
      <c r="C2098" s="16"/>
      <c r="D2098" s="46"/>
      <c r="E2098" s="18"/>
      <c r="F2098" s="219"/>
      <c r="G2098" s="82"/>
      <c r="H2098" s="82"/>
      <c r="I2098" s="82"/>
      <c r="J2098" s="82"/>
      <c r="K2098" s="82"/>
    </row>
    <row r="2099" spans="1:11" ht="51" x14ac:dyDescent="0.2">
      <c r="A2099" s="234" t="s">
        <v>152</v>
      </c>
      <c r="B2099" s="159" t="s">
        <v>626</v>
      </c>
      <c r="C2099" s="16"/>
      <c r="D2099" s="24"/>
      <c r="E2099" s="39"/>
      <c r="F2099" s="215"/>
    </row>
    <row r="2100" spans="1:11" ht="25.5" x14ac:dyDescent="0.2">
      <c r="A2100" s="232"/>
      <c r="B2100" s="1" t="s">
        <v>627</v>
      </c>
      <c r="C2100" s="16"/>
      <c r="D2100" s="24"/>
      <c r="E2100" s="39"/>
      <c r="F2100" s="215"/>
    </row>
    <row r="2101" spans="1:11" ht="51" x14ac:dyDescent="0.2">
      <c r="A2101" s="232"/>
      <c r="B2101" s="159" t="s">
        <v>628</v>
      </c>
      <c r="C2101" s="16"/>
      <c r="D2101" s="24"/>
      <c r="E2101" s="39"/>
      <c r="F2101" s="215"/>
    </row>
    <row r="2102" spans="1:11" ht="38.25" x14ac:dyDescent="0.2">
      <c r="A2102" s="234"/>
      <c r="B2102" s="159" t="s">
        <v>145</v>
      </c>
      <c r="C2102" s="16"/>
      <c r="D2102" s="46"/>
      <c r="E2102" s="18"/>
      <c r="F2102" s="219"/>
    </row>
    <row r="2103" spans="1:11" ht="38.25" x14ac:dyDescent="0.2">
      <c r="A2103" s="234"/>
      <c r="B2103" s="160" t="s">
        <v>629</v>
      </c>
      <c r="C2103" s="16"/>
      <c r="D2103" s="46"/>
      <c r="E2103" s="18"/>
      <c r="F2103" s="219"/>
    </row>
    <row r="2104" spans="1:11" s="82" customFormat="1" ht="38.25" x14ac:dyDescent="0.2">
      <c r="A2104" s="244"/>
      <c r="B2104" s="160" t="s">
        <v>630</v>
      </c>
      <c r="C2104" s="16"/>
      <c r="D2104" s="46"/>
      <c r="E2104" s="12"/>
      <c r="F2104" s="215"/>
      <c r="G2104" s="83"/>
    </row>
    <row r="2105" spans="1:11" ht="12.75" customHeight="1" x14ac:dyDescent="0.2">
      <c r="A2105" s="234"/>
      <c r="B2105" s="160" t="s">
        <v>40</v>
      </c>
      <c r="C2105" s="25"/>
      <c r="D2105" s="25"/>
      <c r="E2105" s="12"/>
      <c r="F2105" s="215"/>
    </row>
    <row r="2106" spans="1:11" x14ac:dyDescent="0.2">
      <c r="A2106" s="234"/>
      <c r="B2106" s="137"/>
      <c r="C2106" s="25"/>
      <c r="D2106" s="25"/>
      <c r="E2106" s="12"/>
      <c r="F2106" s="215"/>
    </row>
    <row r="2107" spans="1:11" x14ac:dyDescent="0.2">
      <c r="A2107" s="234"/>
      <c r="B2107" s="161" t="s">
        <v>631</v>
      </c>
      <c r="C2107" s="25"/>
      <c r="D2107" s="25"/>
      <c r="E2107" s="12"/>
      <c r="F2107" s="215"/>
    </row>
    <row r="2108" spans="1:11" x14ac:dyDescent="0.2">
      <c r="A2108" s="234"/>
      <c r="B2108" s="25" t="s">
        <v>26</v>
      </c>
      <c r="C2108" s="25"/>
      <c r="D2108" s="25"/>
      <c r="E2108" s="12"/>
      <c r="F2108" s="215"/>
    </row>
    <row r="2109" spans="1:11" ht="38.25" x14ac:dyDescent="0.2">
      <c r="A2109" s="234"/>
      <c r="B2109" s="26" t="s">
        <v>1416</v>
      </c>
      <c r="C2109" s="25"/>
      <c r="D2109" s="64">
        <f>2.4*(11.08+6.04+9.25+5.13+8.25+8.25+8.37+10.6+8.37+6.08)-(0.8*2.05*10+1*0.6*2-0.5*12)</f>
        <v>183.80799999999999</v>
      </c>
      <c r="E2109" s="12"/>
      <c r="F2109" s="215"/>
    </row>
    <row r="2110" spans="1:11" x14ac:dyDescent="0.2">
      <c r="A2110" s="234"/>
      <c r="B2110" s="25"/>
      <c r="C2110" s="25"/>
      <c r="D2110" s="25"/>
      <c r="E2110" s="12"/>
      <c r="F2110" s="215"/>
    </row>
    <row r="2111" spans="1:11" x14ac:dyDescent="0.2">
      <c r="A2111" s="234"/>
      <c r="B2111" s="25" t="s">
        <v>898</v>
      </c>
      <c r="C2111" s="25"/>
      <c r="D2111" s="25"/>
      <c r="E2111" s="12"/>
      <c r="F2111" s="215"/>
    </row>
    <row r="2112" spans="1:11" ht="38.25" x14ac:dyDescent="0.2">
      <c r="A2112" s="234"/>
      <c r="B2112" s="26" t="s">
        <v>1417</v>
      </c>
      <c r="C2112" s="25"/>
      <c r="D2112" s="64">
        <f>2.4*(8.37+8.36+4.86+8.37+8.45+9.25+5.13+11.08+6.04+8.33+8.25)-(0.8*2.05*11+1*0.6*2-0.5*13)</f>
        <v>194.83599999999998</v>
      </c>
      <c r="E2112" s="12"/>
      <c r="F2112" s="215"/>
    </row>
    <row r="2113" spans="1:6" x14ac:dyDescent="0.2">
      <c r="A2113" s="234"/>
      <c r="B2113" s="25"/>
      <c r="C2113" s="25"/>
      <c r="D2113" s="64"/>
      <c r="E2113" s="12"/>
      <c r="F2113" s="215"/>
    </row>
    <row r="2114" spans="1:6" x14ac:dyDescent="0.2">
      <c r="A2114" s="234"/>
      <c r="B2114" s="25" t="s">
        <v>899</v>
      </c>
      <c r="C2114" s="25"/>
      <c r="D2114" s="64"/>
      <c r="E2114" s="12"/>
      <c r="F2114" s="215"/>
    </row>
    <row r="2115" spans="1:6" ht="38.25" x14ac:dyDescent="0.2">
      <c r="A2115" s="234"/>
      <c r="B2115" s="64" t="s">
        <v>1419</v>
      </c>
      <c r="C2115" s="25"/>
      <c r="D2115" s="64">
        <f>2*2.4*(8.37+8.36+4.86+8.37+8.45+9.25+5.13+11.08+6.04+8.33+8.25)-2*(0.8*2.05*11+1*0.6*2-0.5*13)</f>
        <v>389.67199999999997</v>
      </c>
      <c r="E2115" s="12"/>
      <c r="F2115" s="215"/>
    </row>
    <row r="2116" spans="1:6" x14ac:dyDescent="0.2">
      <c r="A2116" s="234"/>
      <c r="B2116" s="26"/>
      <c r="C2116" s="25"/>
      <c r="D2116" s="64"/>
      <c r="E2116" s="12"/>
      <c r="F2116" s="215"/>
    </row>
    <row r="2117" spans="1:6" x14ac:dyDescent="0.2">
      <c r="A2117" s="234"/>
      <c r="B2117" s="26" t="s">
        <v>909</v>
      </c>
      <c r="C2117" s="25"/>
      <c r="D2117" s="64"/>
      <c r="E2117" s="12"/>
      <c r="F2117" s="215"/>
    </row>
    <row r="2118" spans="1:6" ht="39" thickBot="1" x14ac:dyDescent="0.25">
      <c r="A2118" s="401"/>
      <c r="B2118" s="285" t="s">
        <v>1417</v>
      </c>
      <c r="C2118" s="71"/>
      <c r="D2118" s="292">
        <f>2.4*(8.37+8.36+4.86+8.37+8.45+9.25+5.13+11.08+6.04+8.33+8.25)-(0.8*2.05*11+1*0.6*2-0.5*13)</f>
        <v>194.83599999999998</v>
      </c>
      <c r="E2118" s="92"/>
      <c r="F2118" s="358"/>
    </row>
    <row r="2119" spans="1:6" x14ac:dyDescent="0.2">
      <c r="A2119" s="234"/>
      <c r="B2119" s="26"/>
      <c r="C2119" s="25"/>
      <c r="D2119" s="64"/>
      <c r="E2119" s="12"/>
      <c r="F2119" s="215"/>
    </row>
    <row r="2120" spans="1:6" ht="38.25" x14ac:dyDescent="0.2">
      <c r="A2120" s="234"/>
      <c r="B2120" s="157" t="s">
        <v>632</v>
      </c>
      <c r="C2120" s="25"/>
      <c r="D2120" s="64"/>
      <c r="E2120" s="12"/>
      <c r="F2120" s="215"/>
    </row>
    <row r="2121" spans="1:6" x14ac:dyDescent="0.2">
      <c r="A2121" s="234"/>
      <c r="B2121" s="25" t="s">
        <v>26</v>
      </c>
      <c r="C2121" s="25"/>
      <c r="D2121" s="25"/>
      <c r="E2121" s="12"/>
      <c r="F2121" s="215"/>
    </row>
    <row r="2122" spans="1:6" ht="38.25" x14ac:dyDescent="0.2">
      <c r="A2122" s="234"/>
      <c r="B2122" s="26" t="s">
        <v>638</v>
      </c>
      <c r="C2122" s="25"/>
      <c r="D2122" s="64">
        <f>0.7*(0.6*4+1.4*2+2.05+2.63+0.6*3+1.83+2.21+1.6*2+0.6*8+1.83*2+2.21*2+1.15+2.06+0.6*2)</f>
        <v>25.346999999999998</v>
      </c>
      <c r="E2122" s="12"/>
      <c r="F2122" s="215"/>
    </row>
    <row r="2123" spans="1:6" x14ac:dyDescent="0.2">
      <c r="A2123" s="234"/>
      <c r="B2123" s="25"/>
      <c r="C2123" s="25"/>
      <c r="D2123" s="25"/>
      <c r="E2123" s="12"/>
      <c r="F2123" s="215"/>
    </row>
    <row r="2124" spans="1:6" x14ac:dyDescent="0.2">
      <c r="A2124" s="234"/>
      <c r="B2124" s="25" t="s">
        <v>898</v>
      </c>
      <c r="C2124" s="25"/>
      <c r="D2124" s="25"/>
      <c r="E2124" s="12"/>
      <c r="F2124" s="215"/>
    </row>
    <row r="2125" spans="1:6" ht="38.25" x14ac:dyDescent="0.2">
      <c r="A2125" s="234"/>
      <c r="B2125" s="26" t="s">
        <v>638</v>
      </c>
      <c r="C2125" s="25"/>
      <c r="D2125" s="64">
        <f>0.7*(0.6*4+1.4*2+2.05+2.63+0.6*3+1.83+2.21+1.6*2+0.6*8+1.83*2+2.21*2+1.15+2.06+0.6*2)</f>
        <v>25.346999999999998</v>
      </c>
      <c r="E2125" s="12"/>
      <c r="F2125" s="215"/>
    </row>
    <row r="2126" spans="1:6" x14ac:dyDescent="0.2">
      <c r="A2126" s="234"/>
      <c r="B2126" s="25"/>
      <c r="C2126" s="25"/>
      <c r="D2126" s="64"/>
      <c r="E2126" s="12"/>
      <c r="F2126" s="215"/>
    </row>
    <row r="2127" spans="1:6" x14ac:dyDescent="0.2">
      <c r="A2127" s="234"/>
      <c r="B2127" s="25" t="s">
        <v>899</v>
      </c>
      <c r="C2127" s="25"/>
      <c r="D2127" s="64"/>
      <c r="E2127" s="12"/>
      <c r="F2127" s="215"/>
    </row>
    <row r="2128" spans="1:6" ht="38.25" x14ac:dyDescent="0.2">
      <c r="A2128" s="234"/>
      <c r="B2128" s="26" t="s">
        <v>1076</v>
      </c>
      <c r="C2128" s="25"/>
      <c r="D2128" s="64">
        <f>0.7*(0.6*4+1.4*2+2.05+2.63+0.6*3+1.83+2.21+1.6*2+0.6*8+1.83*2+2.21*2+1.15+2.06+0.6*2)*2</f>
        <v>50.693999999999996</v>
      </c>
      <c r="E2128" s="12"/>
      <c r="F2128" s="215"/>
    </row>
    <row r="2129" spans="1:6" x14ac:dyDescent="0.2">
      <c r="A2129" s="234"/>
      <c r="B2129" s="26"/>
      <c r="C2129" s="25"/>
      <c r="D2129" s="64"/>
      <c r="E2129" s="12"/>
      <c r="F2129" s="215"/>
    </row>
    <row r="2130" spans="1:6" x14ac:dyDescent="0.2">
      <c r="A2130" s="234"/>
      <c r="B2130" s="26" t="s">
        <v>909</v>
      </c>
      <c r="C2130" s="25"/>
      <c r="D2130" s="64"/>
      <c r="E2130" s="12"/>
      <c r="F2130" s="215"/>
    </row>
    <row r="2131" spans="1:6" ht="38.25" x14ac:dyDescent="0.2">
      <c r="A2131" s="234"/>
      <c r="B2131" s="26" t="s">
        <v>638</v>
      </c>
      <c r="C2131" s="25"/>
      <c r="D2131" s="64">
        <f>0.7*(0.6*4+1.4*2+2.05+2.63+0.6*3+1.83+2.21+1.6*2+0.6*8+1.83*2+2.21*2+1.15+2.06+0.6*2)</f>
        <v>25.346999999999998</v>
      </c>
      <c r="E2131" s="12"/>
      <c r="F2131" s="215"/>
    </row>
    <row r="2132" spans="1:6" x14ac:dyDescent="0.2">
      <c r="A2132" s="234"/>
      <c r="B2132" s="26"/>
      <c r="C2132" s="25"/>
      <c r="D2132" s="64"/>
      <c r="E2132" s="12"/>
      <c r="F2132" s="215"/>
    </row>
    <row r="2133" spans="1:6" x14ac:dyDescent="0.2">
      <c r="A2133" s="234"/>
      <c r="B2133" s="20" t="s">
        <v>170</v>
      </c>
      <c r="C2133" s="16" t="s">
        <v>37</v>
      </c>
      <c r="D2133" s="24">
        <f>SUM(D2105:D2132)</f>
        <v>1089.8869999999999</v>
      </c>
      <c r="E2133" s="12"/>
      <c r="F2133" s="215">
        <f>+D2133*E2133</f>
        <v>0</v>
      </c>
    </row>
    <row r="2134" spans="1:6" x14ac:dyDescent="0.2">
      <c r="A2134" s="234"/>
      <c r="B2134" s="20"/>
      <c r="C2134" s="16"/>
      <c r="D2134" s="24"/>
      <c r="E2134" s="12"/>
      <c r="F2134" s="215"/>
    </row>
    <row r="2135" spans="1:6" ht="102" x14ac:dyDescent="0.2">
      <c r="A2135" s="234" t="s">
        <v>153</v>
      </c>
      <c r="B2135" s="36" t="s">
        <v>714</v>
      </c>
      <c r="C2135" s="16"/>
      <c r="D2135" s="46"/>
      <c r="E2135" s="18"/>
      <c r="F2135" s="219"/>
    </row>
    <row r="2136" spans="1:6" ht="25.5" x14ac:dyDescent="0.2">
      <c r="A2136" s="234"/>
      <c r="B2136" s="20" t="s">
        <v>676</v>
      </c>
      <c r="C2136" s="16"/>
      <c r="D2136" s="46"/>
      <c r="E2136" s="18"/>
      <c r="F2136" s="219"/>
    </row>
    <row r="2137" spans="1:6" x14ac:dyDescent="0.2">
      <c r="A2137" s="234"/>
      <c r="B2137" s="12"/>
      <c r="C2137" s="16"/>
      <c r="D2137" s="46"/>
      <c r="E2137" s="18"/>
      <c r="F2137" s="219"/>
    </row>
    <row r="2138" spans="1:6" ht="25.5" x14ac:dyDescent="0.2">
      <c r="A2138" s="399" t="s">
        <v>282</v>
      </c>
      <c r="B2138" s="20" t="s">
        <v>861</v>
      </c>
      <c r="C2138" s="16"/>
      <c r="D2138" s="46"/>
      <c r="E2138" s="18"/>
      <c r="F2138" s="219"/>
    </row>
    <row r="2139" spans="1:6" x14ac:dyDescent="0.2">
      <c r="A2139" s="234"/>
      <c r="B2139" s="24" t="s">
        <v>1418</v>
      </c>
      <c r="C2139" s="16" t="s">
        <v>38</v>
      </c>
      <c r="D2139" s="24">
        <f>5*4</f>
        <v>20</v>
      </c>
      <c r="E2139" s="12"/>
      <c r="F2139" s="215">
        <f>+D2139*E2139</f>
        <v>0</v>
      </c>
    </row>
    <row r="2140" spans="1:6" x14ac:dyDescent="0.2">
      <c r="A2140" s="234"/>
      <c r="B2140" s="20"/>
      <c r="C2140" s="16"/>
      <c r="D2140" s="24"/>
      <c r="E2140" s="12"/>
      <c r="F2140" s="215"/>
    </row>
    <row r="2141" spans="1:6" ht="25.5" x14ac:dyDescent="0.2">
      <c r="A2141" s="399" t="s">
        <v>1512</v>
      </c>
      <c r="B2141" s="20" t="s">
        <v>728</v>
      </c>
      <c r="C2141" s="16"/>
      <c r="D2141" s="24"/>
      <c r="E2141" s="12"/>
      <c r="F2141" s="215"/>
    </row>
    <row r="2142" spans="1:6" x14ac:dyDescent="0.2">
      <c r="A2142" s="234"/>
      <c r="B2142" s="65"/>
      <c r="C2142" s="41"/>
      <c r="D2142" s="105"/>
      <c r="E2142" s="25"/>
      <c r="F2142" s="242"/>
    </row>
    <row r="2143" spans="1:6" x14ac:dyDescent="0.2">
      <c r="A2143" s="234"/>
      <c r="B2143" s="25" t="s">
        <v>26</v>
      </c>
      <c r="C2143" s="41"/>
      <c r="D2143" s="105"/>
      <c r="E2143" s="25"/>
      <c r="F2143" s="242"/>
    </row>
    <row r="2144" spans="1:6" x14ac:dyDescent="0.2">
      <c r="A2144" s="234"/>
      <c r="B2144" s="26" t="s">
        <v>677</v>
      </c>
      <c r="C2144" s="41"/>
      <c r="D2144" s="26">
        <f>9*2*1.4</f>
        <v>25.2</v>
      </c>
      <c r="E2144" s="25"/>
      <c r="F2144" s="242"/>
    </row>
    <row r="2145" spans="1:6" x14ac:dyDescent="0.2">
      <c r="A2145" s="234"/>
      <c r="B2145" s="25"/>
      <c r="C2145" s="41"/>
      <c r="D2145" s="105"/>
      <c r="E2145" s="25"/>
      <c r="F2145" s="242"/>
    </row>
    <row r="2146" spans="1:6" x14ac:dyDescent="0.2">
      <c r="A2146" s="234"/>
      <c r="B2146" s="25" t="s">
        <v>898</v>
      </c>
      <c r="C2146" s="41"/>
      <c r="D2146" s="105"/>
      <c r="E2146" s="25"/>
      <c r="F2146" s="242"/>
    </row>
    <row r="2147" spans="1:6" x14ac:dyDescent="0.2">
      <c r="A2147" s="234"/>
      <c r="B2147" s="26" t="s">
        <v>677</v>
      </c>
      <c r="C2147" s="41"/>
      <c r="D2147" s="26">
        <f>9*2*1.4</f>
        <v>25.2</v>
      </c>
      <c r="E2147" s="25"/>
      <c r="F2147" s="242"/>
    </row>
    <row r="2148" spans="1:6" x14ac:dyDescent="0.2">
      <c r="A2148" s="234"/>
      <c r="B2148" s="25"/>
      <c r="C2148" s="41"/>
      <c r="D2148" s="105"/>
      <c r="E2148" s="25"/>
      <c r="F2148" s="242"/>
    </row>
    <row r="2149" spans="1:6" x14ac:dyDescent="0.2">
      <c r="A2149" s="234"/>
      <c r="B2149" s="25" t="s">
        <v>899</v>
      </c>
      <c r="C2149" s="41"/>
      <c r="D2149" s="105"/>
      <c r="E2149" s="25"/>
      <c r="F2149" s="242"/>
    </row>
    <row r="2150" spans="1:6" ht="13.5" thickBot="1" x14ac:dyDescent="0.25">
      <c r="A2150" s="401"/>
      <c r="B2150" s="285" t="s">
        <v>1075</v>
      </c>
      <c r="C2150" s="302"/>
      <c r="D2150" s="285">
        <f>9*2*2*1.4</f>
        <v>50.4</v>
      </c>
      <c r="E2150" s="71"/>
      <c r="F2150" s="380"/>
    </row>
    <row r="2151" spans="1:6" x14ac:dyDescent="0.2">
      <c r="A2151" s="234"/>
      <c r="B2151" s="26"/>
      <c r="C2151" s="41"/>
      <c r="D2151" s="26"/>
      <c r="E2151" s="25"/>
      <c r="F2151" s="242"/>
    </row>
    <row r="2152" spans="1:6" x14ac:dyDescent="0.2">
      <c r="A2152" s="234"/>
      <c r="B2152" s="26" t="s">
        <v>909</v>
      </c>
      <c r="C2152" s="41"/>
      <c r="D2152" s="26"/>
      <c r="E2152" s="25"/>
      <c r="F2152" s="242"/>
    </row>
    <row r="2153" spans="1:6" x14ac:dyDescent="0.2">
      <c r="A2153" s="234"/>
      <c r="B2153" s="26" t="s">
        <v>677</v>
      </c>
      <c r="C2153" s="41"/>
      <c r="D2153" s="26">
        <f>9*2*1.4</f>
        <v>25.2</v>
      </c>
      <c r="E2153" s="25"/>
      <c r="F2153" s="242"/>
    </row>
    <row r="2154" spans="1:6" x14ac:dyDescent="0.2">
      <c r="A2154" s="234"/>
      <c r="B2154" s="26"/>
      <c r="C2154" s="41"/>
      <c r="D2154" s="26"/>
      <c r="E2154" s="25"/>
      <c r="F2154" s="242"/>
    </row>
    <row r="2155" spans="1:6" x14ac:dyDescent="0.2">
      <c r="A2155" s="234"/>
      <c r="B2155" s="67" t="s">
        <v>1513</v>
      </c>
      <c r="C2155" s="16" t="s">
        <v>38</v>
      </c>
      <c r="D2155" s="105">
        <f>SUM(D2143:D2153)</f>
        <v>126</v>
      </c>
      <c r="E2155" s="12"/>
      <c r="F2155" s="215">
        <f>+D2155*E2155</f>
        <v>0</v>
      </c>
    </row>
    <row r="2156" spans="1:6" x14ac:dyDescent="0.2">
      <c r="A2156" s="234"/>
      <c r="B2156" s="67"/>
      <c r="C2156" s="16"/>
      <c r="D2156" s="105"/>
      <c r="E2156" s="12"/>
      <c r="F2156" s="215"/>
    </row>
    <row r="2157" spans="1:6" ht="51" x14ac:dyDescent="0.2">
      <c r="A2157" s="234" t="s">
        <v>821</v>
      </c>
      <c r="B2157" s="157" t="s">
        <v>819</v>
      </c>
      <c r="C2157" s="16"/>
      <c r="D2157" s="105"/>
      <c r="E2157" s="12"/>
      <c r="F2157" s="215"/>
    </row>
    <row r="2158" spans="1:6" ht="38.25" x14ac:dyDescent="0.2">
      <c r="A2158" s="234"/>
      <c r="B2158" s="157" t="s">
        <v>619</v>
      </c>
      <c r="C2158" s="16"/>
      <c r="D2158" s="105"/>
      <c r="E2158" s="12"/>
      <c r="F2158" s="215"/>
    </row>
    <row r="2159" spans="1:6" ht="25.5" x14ac:dyDescent="0.2">
      <c r="A2159" s="234"/>
      <c r="B2159" s="157" t="s">
        <v>620</v>
      </c>
      <c r="C2159" s="16"/>
      <c r="D2159" s="105"/>
      <c r="E2159" s="12"/>
      <c r="F2159" s="215"/>
    </row>
    <row r="2160" spans="1:6" ht="25.5" x14ac:dyDescent="0.2">
      <c r="A2160" s="234"/>
      <c r="B2160" s="157" t="s">
        <v>622</v>
      </c>
      <c r="C2160" s="16"/>
      <c r="D2160" s="105"/>
      <c r="E2160" s="12"/>
      <c r="F2160" s="215"/>
    </row>
    <row r="2161" spans="1:11" ht="25.5" x14ac:dyDescent="0.2">
      <c r="A2161" s="234"/>
      <c r="B2161" s="157" t="s">
        <v>820</v>
      </c>
      <c r="C2161" s="16"/>
      <c r="D2161" s="105"/>
      <c r="E2161" s="12"/>
      <c r="F2161" s="215"/>
    </row>
    <row r="2162" spans="1:11" x14ac:dyDescent="0.2">
      <c r="A2162" s="234"/>
      <c r="B2162" s="67"/>
      <c r="C2162" s="16"/>
      <c r="D2162" s="105"/>
      <c r="E2162" s="12"/>
      <c r="F2162" s="215"/>
    </row>
    <row r="2163" spans="1:11" ht="51" x14ac:dyDescent="0.2">
      <c r="A2163" s="399"/>
      <c r="B2163" s="157" t="s">
        <v>772</v>
      </c>
      <c r="C2163" s="16"/>
      <c r="D2163" s="24"/>
      <c r="E2163" s="12"/>
      <c r="F2163" s="215"/>
    </row>
    <row r="2164" spans="1:11" x14ac:dyDescent="0.2">
      <c r="A2164" s="399"/>
      <c r="B2164" s="88"/>
      <c r="C2164" s="16"/>
      <c r="D2164" s="24"/>
      <c r="E2164" s="12"/>
      <c r="F2164" s="215"/>
    </row>
    <row r="2165" spans="1:11" ht="25.5" x14ac:dyDescent="0.2">
      <c r="A2165" s="232"/>
      <c r="B2165" s="31" t="s">
        <v>822</v>
      </c>
      <c r="C2165" s="66" t="s">
        <v>38</v>
      </c>
      <c r="D2165" s="65">
        <f>(1.42*2+2.92)*3+1.42*4+(1.42*2+2.92)*4*4+1.42*4*4</f>
        <v>137.84</v>
      </c>
      <c r="E2165" s="12"/>
      <c r="F2165" s="215">
        <f>E2165*D2165</f>
        <v>0</v>
      </c>
    </row>
    <row r="2166" spans="1:11" ht="13.5" thickBot="1" x14ac:dyDescent="0.25">
      <c r="A2166" s="234"/>
      <c r="B2166" s="20"/>
      <c r="C2166" s="16"/>
      <c r="D2166" s="24"/>
      <c r="E2166" s="12"/>
      <c r="F2166" s="215"/>
    </row>
    <row r="2167" spans="1:11" ht="15.75" customHeight="1" thickBot="1" x14ac:dyDescent="0.25">
      <c r="A2167" s="235" t="str">
        <f>A1972</f>
        <v>12.</v>
      </c>
      <c r="B2167" s="52" t="s">
        <v>101</v>
      </c>
      <c r="C2167" s="53"/>
      <c r="D2167" s="54"/>
      <c r="E2167" s="55"/>
      <c r="F2167" s="238">
        <f>SUM(F1974:F2166)</f>
        <v>0</v>
      </c>
      <c r="G2167" s="4"/>
      <c r="H2167" s="3"/>
      <c r="I2167" s="3"/>
      <c r="J2167" s="3"/>
      <c r="K2167" s="2"/>
    </row>
    <row r="2168" spans="1:11" ht="15.75" customHeight="1" thickBot="1" x14ac:dyDescent="0.25">
      <c r="A2168" s="239" t="s">
        <v>79</v>
      </c>
      <c r="B2168" s="52" t="s">
        <v>611</v>
      </c>
      <c r="C2168" s="53"/>
      <c r="D2168" s="54"/>
      <c r="E2168" s="63"/>
      <c r="F2168" s="237"/>
    </row>
    <row r="2169" spans="1:11" x14ac:dyDescent="0.2">
      <c r="A2169" s="376"/>
      <c r="B2169" s="25"/>
      <c r="C2169" s="25"/>
      <c r="D2169" s="25"/>
      <c r="E2169" s="68"/>
      <c r="F2169" s="242"/>
    </row>
    <row r="2170" spans="1:11" ht="63.75" x14ac:dyDescent="0.2">
      <c r="A2170" s="405" t="s">
        <v>80</v>
      </c>
      <c r="B2170" s="157" t="s">
        <v>720</v>
      </c>
      <c r="C2170" s="25"/>
      <c r="D2170" s="25"/>
      <c r="E2170" s="25"/>
      <c r="F2170" s="242"/>
    </row>
    <row r="2171" spans="1:11" ht="140.25" x14ac:dyDescent="0.2">
      <c r="A2171" s="376"/>
      <c r="B2171" s="422" t="s">
        <v>721</v>
      </c>
      <c r="C2171" s="25"/>
      <c r="D2171" s="25"/>
      <c r="E2171" s="25"/>
      <c r="F2171" s="242"/>
    </row>
    <row r="2172" spans="1:11" ht="102" x14ac:dyDescent="0.2">
      <c r="A2172" s="376"/>
      <c r="B2172" s="422" t="s">
        <v>729</v>
      </c>
      <c r="C2172" s="25"/>
      <c r="D2172" s="25"/>
      <c r="E2172" s="25"/>
      <c r="F2172" s="242"/>
    </row>
    <row r="2173" spans="1:11" ht="51" x14ac:dyDescent="0.2">
      <c r="A2173" s="376"/>
      <c r="B2173" s="422" t="s">
        <v>725</v>
      </c>
      <c r="C2173" s="25"/>
      <c r="D2173" s="25"/>
      <c r="E2173" s="25"/>
      <c r="F2173" s="242"/>
    </row>
    <row r="2174" spans="1:11" ht="140.25" x14ac:dyDescent="0.2">
      <c r="A2174" s="376"/>
      <c r="B2174" s="422" t="s">
        <v>726</v>
      </c>
      <c r="C2174" s="25"/>
      <c r="D2174" s="25"/>
      <c r="E2174" s="25"/>
      <c r="F2174" s="242"/>
    </row>
    <row r="2175" spans="1:11" ht="63.75" x14ac:dyDescent="0.2">
      <c r="A2175" s="376"/>
      <c r="B2175" s="157" t="s">
        <v>718</v>
      </c>
      <c r="C2175" s="25"/>
      <c r="D2175" s="25"/>
      <c r="E2175" s="25"/>
      <c r="F2175" s="242"/>
    </row>
    <row r="2176" spans="1:11" ht="26.25" thickBot="1" x14ac:dyDescent="0.25">
      <c r="A2176" s="388"/>
      <c r="B2176" s="284" t="s">
        <v>719</v>
      </c>
      <c r="C2176" s="71"/>
      <c r="D2176" s="71"/>
      <c r="E2176" s="71"/>
      <c r="F2176" s="380"/>
    </row>
    <row r="2177" spans="1:6" x14ac:dyDescent="0.2">
      <c r="A2177" s="376"/>
      <c r="B2177" s="88"/>
      <c r="C2177" s="25"/>
      <c r="D2177" s="25"/>
      <c r="E2177" s="25"/>
      <c r="F2177" s="242"/>
    </row>
    <row r="2178" spans="1:6" x14ac:dyDescent="0.2">
      <c r="A2178" s="376"/>
      <c r="B2178" s="25" t="s">
        <v>26</v>
      </c>
      <c r="C2178" s="41"/>
      <c r="D2178" s="105"/>
      <c r="E2178" s="25"/>
      <c r="F2178" s="242"/>
    </row>
    <row r="2179" spans="1:6" ht="51" x14ac:dyDescent="0.2">
      <c r="A2179" s="376"/>
      <c r="B2179" s="26" t="s">
        <v>823</v>
      </c>
      <c r="C2179" s="41"/>
      <c r="D2179" s="64">
        <f>4.94+22.64+11.66+11.6+3.97+5.94+26.84+11.38+11.69+9.86+1.42+3.35+20.62+9.62+3.13+22.58+10.48+4.58+27.49+12.64+2.74+22.56+4.58+27.33+12.64</f>
        <v>306.27999999999997</v>
      </c>
      <c r="E2179" s="25"/>
      <c r="F2179" s="242"/>
    </row>
    <row r="2180" spans="1:6" x14ac:dyDescent="0.2">
      <c r="A2180" s="376"/>
      <c r="B2180" s="103"/>
      <c r="C2180" s="41"/>
      <c r="D2180" s="103"/>
      <c r="E2180" s="25"/>
      <c r="F2180" s="242"/>
    </row>
    <row r="2181" spans="1:6" x14ac:dyDescent="0.2">
      <c r="A2181" s="376"/>
      <c r="B2181" s="25" t="s">
        <v>898</v>
      </c>
      <c r="C2181" s="41"/>
      <c r="D2181" s="105"/>
      <c r="E2181" s="25"/>
      <c r="F2181" s="242"/>
    </row>
    <row r="2182" spans="1:6" ht="63.75" x14ac:dyDescent="0.2">
      <c r="A2182" s="376"/>
      <c r="B2182" s="26" t="s">
        <v>824</v>
      </c>
      <c r="C2182" s="41"/>
      <c r="D2182" s="64">
        <f>4.58+27.49+12.64+5.15+21.32+11.05+10.16+1.34+4.58+27.08+12.64+3.13+22.68+4.94+22.65+11.66+11.6+3.97+5.02+27.77+11.38+11.69+9.86+1.42+3.35+20.62+9.62+3.13+22.58+10.48</f>
        <v>355.5800000000001</v>
      </c>
      <c r="E2182" s="25"/>
      <c r="F2182" s="242"/>
    </row>
    <row r="2183" spans="1:6" x14ac:dyDescent="0.2">
      <c r="A2183" s="376"/>
      <c r="B2183" s="25"/>
      <c r="C2183" s="41"/>
      <c r="D2183" s="105"/>
      <c r="E2183" s="25"/>
      <c r="F2183" s="242"/>
    </row>
    <row r="2184" spans="1:6" x14ac:dyDescent="0.2">
      <c r="A2184" s="376"/>
      <c r="B2184" s="25" t="s">
        <v>899</v>
      </c>
      <c r="C2184" s="41"/>
      <c r="D2184" s="105"/>
      <c r="E2184" s="25"/>
      <c r="F2184" s="242"/>
    </row>
    <row r="2185" spans="1:6" ht="63.75" x14ac:dyDescent="0.2">
      <c r="A2185" s="376"/>
      <c r="B2185" s="26" t="s">
        <v>1078</v>
      </c>
      <c r="C2185" s="41"/>
      <c r="D2185" s="64">
        <f>(4.58+27.49+12.64+5.15+21.32+11.05+10.16+1.34+4.58+27.08+12.64+3.13+22.68+4.94+22.65+11.66+11.6+3.97+5.02+27.77+11.38+11.69+9.86+1.42+3.35+20.62+9.62+3.13+22.58+10.48)*2</f>
        <v>711.1600000000002</v>
      </c>
      <c r="E2185" s="25"/>
      <c r="F2185" s="242"/>
    </row>
    <row r="2186" spans="1:6" x14ac:dyDescent="0.2">
      <c r="A2186" s="376"/>
      <c r="B2186" s="26"/>
      <c r="C2186" s="41"/>
      <c r="D2186" s="64"/>
      <c r="E2186" s="25"/>
      <c r="F2186" s="242"/>
    </row>
    <row r="2187" spans="1:6" x14ac:dyDescent="0.2">
      <c r="A2187" s="376"/>
      <c r="B2187" s="26" t="s">
        <v>909</v>
      </c>
      <c r="C2187" s="41"/>
      <c r="D2187" s="64"/>
      <c r="E2187" s="25"/>
      <c r="F2187" s="242"/>
    </row>
    <row r="2188" spans="1:6" ht="63.75" x14ac:dyDescent="0.2">
      <c r="A2188" s="376"/>
      <c r="B2188" s="26" t="s">
        <v>824</v>
      </c>
      <c r="C2188" s="41"/>
      <c r="D2188" s="64">
        <f>4.58+27.49+12.64+5.15+21.32+11.05+10.16+1.34+4.58+27.08+12.64+3.13+22.68+4.94+22.65+11.66+11.6+3.97+5.02+27.77+11.38+11.69+9.86+1.42+3.35+20.62+9.62+3.13+22.58+10.48</f>
        <v>355.5800000000001</v>
      </c>
      <c r="E2188" s="25"/>
      <c r="F2188" s="242"/>
    </row>
    <row r="2189" spans="1:6" x14ac:dyDescent="0.2">
      <c r="A2189" s="376"/>
      <c r="B2189" s="67"/>
      <c r="C2189" s="41"/>
      <c r="D2189" s="105"/>
      <c r="E2189" s="25"/>
      <c r="F2189" s="242"/>
    </row>
    <row r="2190" spans="1:6" x14ac:dyDescent="0.2">
      <c r="A2190" s="376"/>
      <c r="B2190" s="86" t="s">
        <v>722</v>
      </c>
      <c r="C2190" s="113" t="s">
        <v>37</v>
      </c>
      <c r="D2190" s="64">
        <f>SUM(D2179:D2189)</f>
        <v>1728.6000000000006</v>
      </c>
      <c r="E2190" s="12"/>
      <c r="F2190" s="219">
        <f>E2190*D2190</f>
        <v>0</v>
      </c>
    </row>
    <row r="2191" spans="1:6" x14ac:dyDescent="0.2">
      <c r="A2191" s="376"/>
      <c r="B2191" s="82"/>
      <c r="C2191" s="25"/>
      <c r="D2191" s="25"/>
      <c r="E2191" s="25"/>
      <c r="F2191" s="242"/>
    </row>
    <row r="2192" spans="1:6" ht="76.5" x14ac:dyDescent="0.2">
      <c r="A2192" s="405" t="s">
        <v>199</v>
      </c>
      <c r="B2192" s="82" t="s">
        <v>727</v>
      </c>
      <c r="C2192" s="25"/>
      <c r="D2192" s="25"/>
      <c r="E2192" s="25"/>
      <c r="F2192" s="242"/>
    </row>
    <row r="2193" spans="1:6" ht="38.25" x14ac:dyDescent="0.2">
      <c r="A2193" s="376"/>
      <c r="B2193" s="82" t="s">
        <v>723</v>
      </c>
      <c r="C2193" s="25"/>
      <c r="D2193" s="25"/>
      <c r="E2193" s="25"/>
      <c r="F2193" s="242"/>
    </row>
    <row r="2194" spans="1:6" x14ac:dyDescent="0.2">
      <c r="A2194" s="376"/>
      <c r="B2194" s="82" t="s">
        <v>724</v>
      </c>
      <c r="C2194" s="25"/>
      <c r="D2194" s="25"/>
      <c r="E2194" s="25"/>
      <c r="F2194" s="242"/>
    </row>
    <row r="2195" spans="1:6" x14ac:dyDescent="0.2">
      <c r="A2195" s="376"/>
      <c r="B2195" s="82"/>
      <c r="C2195" s="25"/>
      <c r="D2195" s="25"/>
      <c r="E2195" s="25"/>
      <c r="F2195" s="242"/>
    </row>
    <row r="2196" spans="1:6" x14ac:dyDescent="0.2">
      <c r="A2196" s="376"/>
      <c r="B2196" s="25" t="s">
        <v>26</v>
      </c>
      <c r="C2196" s="25"/>
      <c r="D2196" s="25"/>
      <c r="E2196" s="25"/>
      <c r="F2196" s="242"/>
    </row>
    <row r="2197" spans="1:6" ht="64.5" thickBot="1" x14ac:dyDescent="0.25">
      <c r="A2197" s="388"/>
      <c r="B2197" s="285" t="s">
        <v>862</v>
      </c>
      <c r="C2197" s="71"/>
      <c r="D2197" s="288">
        <f>8.9+19.21+13.86+13.85+10.25+11.58+22.39+13.79+14.4+12.78+4.84+10.08+22.11+13.25+7.37+19.33+13.2+10.34+24.05+15.17+6.62+23.72+10.34+24.05+15.17</f>
        <v>360.65000000000003</v>
      </c>
      <c r="E2197" s="288"/>
      <c r="F2197" s="380"/>
    </row>
    <row r="2198" spans="1:6" x14ac:dyDescent="0.2">
      <c r="A2198" s="376"/>
      <c r="B2198" s="103"/>
      <c r="C2198" s="25"/>
      <c r="D2198" s="25"/>
      <c r="E2198" s="25"/>
      <c r="F2198" s="242"/>
    </row>
    <row r="2199" spans="1:6" x14ac:dyDescent="0.2">
      <c r="A2199" s="376"/>
      <c r="B2199" s="25" t="s">
        <v>898</v>
      </c>
      <c r="C2199" s="25"/>
      <c r="D2199" s="25"/>
      <c r="E2199" s="25"/>
      <c r="F2199" s="242"/>
    </row>
    <row r="2200" spans="1:6" ht="63.75" x14ac:dyDescent="0.2">
      <c r="A2200" s="376"/>
      <c r="B2200" s="26" t="s">
        <v>863</v>
      </c>
      <c r="C2200" s="25"/>
      <c r="D2200" s="65">
        <f>10.34+24.1+15.17+4.63+23.46+13.54+13.75+4.63+10.34+23.97+15.17+7.46+19.38+10.1+23.87+14.4+11.69+4.84+8.9+19.21+13.86+13.85+12.94+4.84+8.81+22.09+13.25+7.34+19.33+13.2</f>
        <v>408.45999999999992</v>
      </c>
      <c r="E2200" s="65"/>
      <c r="F2200" s="242"/>
    </row>
    <row r="2201" spans="1:6" x14ac:dyDescent="0.2">
      <c r="A2201" s="376"/>
      <c r="B2201" s="25"/>
      <c r="C2201" s="25"/>
      <c r="D2201" s="25"/>
      <c r="E2201" s="25"/>
      <c r="F2201" s="242"/>
    </row>
    <row r="2202" spans="1:6" x14ac:dyDescent="0.2">
      <c r="A2202" s="376"/>
      <c r="B2202" s="25" t="s">
        <v>899</v>
      </c>
      <c r="C2202" s="25"/>
      <c r="D2202" s="25"/>
      <c r="E2202" s="25"/>
      <c r="F2202" s="242"/>
    </row>
    <row r="2203" spans="1:6" ht="63.75" x14ac:dyDescent="0.2">
      <c r="A2203" s="376"/>
      <c r="B2203" s="26" t="s">
        <v>1079</v>
      </c>
      <c r="C2203" s="25"/>
      <c r="D2203" s="65">
        <f>(10.34+24.1+15.17+4.63+23.46+13.54+13.75+4.63+10.34+23.97+15.17+7.46+19.38+10.1+23.87+14.4+11.69+4.84+8.9+19.21+13.86+13.85+12.94+4.84+8.81+22.09+13.25+7.34+19.33+13.2)*2</f>
        <v>816.91999999999985</v>
      </c>
      <c r="E2203" s="65"/>
      <c r="F2203" s="242"/>
    </row>
    <row r="2204" spans="1:6" x14ac:dyDescent="0.2">
      <c r="A2204" s="376"/>
      <c r="B2204" s="25"/>
      <c r="C2204" s="25"/>
      <c r="D2204" s="25"/>
      <c r="E2204" s="25"/>
      <c r="F2204" s="242"/>
    </row>
    <row r="2205" spans="1:6" x14ac:dyDescent="0.2">
      <c r="A2205" s="376"/>
      <c r="B2205" s="25" t="s">
        <v>909</v>
      </c>
      <c r="C2205" s="25"/>
      <c r="D2205" s="25"/>
      <c r="E2205" s="25"/>
      <c r="F2205" s="242"/>
    </row>
    <row r="2206" spans="1:6" ht="63.75" x14ac:dyDescent="0.2">
      <c r="A2206" s="376"/>
      <c r="B2206" s="26" t="s">
        <v>863</v>
      </c>
      <c r="C2206" s="25"/>
      <c r="D2206" s="65">
        <f>10.34+24.1+15.17+4.63+23.46+13.54+13.75+4.63+10.34+23.97+15.17+7.46+19.38+10.1+23.87+14.4+11.69+4.84+8.9+19.21+13.86+13.85+12.94+4.84+8.81+22.09+13.25+7.34+19.33+13.2</f>
        <v>408.45999999999992</v>
      </c>
      <c r="E2206" s="25"/>
      <c r="F2206" s="242"/>
    </row>
    <row r="2207" spans="1:6" x14ac:dyDescent="0.2">
      <c r="A2207" s="376"/>
      <c r="B2207" s="25"/>
      <c r="C2207" s="25"/>
      <c r="D2207" s="25"/>
      <c r="E2207" s="25"/>
      <c r="F2207" s="242"/>
    </row>
    <row r="2208" spans="1:6" x14ac:dyDescent="0.2">
      <c r="A2208" s="376"/>
      <c r="B2208" s="25" t="s">
        <v>610</v>
      </c>
      <c r="C2208" s="148" t="s">
        <v>38</v>
      </c>
      <c r="D2208" s="12">
        <f>SUM(D2197:D2207)</f>
        <v>1994.4899999999998</v>
      </c>
      <c r="E2208" s="12"/>
      <c r="F2208" s="219">
        <f>E2208*D2208</f>
        <v>0</v>
      </c>
    </row>
    <row r="2209" spans="1:6" x14ac:dyDescent="0.2">
      <c r="A2209" s="376"/>
      <c r="B2209" s="168"/>
      <c r="C2209" s="148"/>
      <c r="D2209" s="149"/>
      <c r="E2209" s="40"/>
      <c r="F2209" s="219"/>
    </row>
    <row r="2210" spans="1:6" ht="25.5" x14ac:dyDescent="0.2">
      <c r="A2210" s="405" t="s">
        <v>200</v>
      </c>
      <c r="B2210" s="157" t="s">
        <v>668</v>
      </c>
      <c r="C2210" s="25"/>
      <c r="D2210" s="25"/>
      <c r="E2210" s="25"/>
      <c r="F2210" s="242"/>
    </row>
    <row r="2211" spans="1:6" ht="38.25" x14ac:dyDescent="0.2">
      <c r="A2211" s="376"/>
      <c r="B2211" s="157" t="s">
        <v>634</v>
      </c>
      <c r="C2211" s="25"/>
      <c r="D2211" s="25"/>
      <c r="E2211" s="25"/>
      <c r="F2211" s="242"/>
    </row>
    <row r="2212" spans="1:6" x14ac:dyDescent="0.2">
      <c r="A2212" s="376"/>
      <c r="B2212" s="157" t="s">
        <v>635</v>
      </c>
      <c r="C2212" s="25"/>
      <c r="D2212" s="25"/>
      <c r="E2212" s="25"/>
      <c r="F2212" s="242"/>
    </row>
    <row r="2213" spans="1:6" x14ac:dyDescent="0.2">
      <c r="A2213" s="376"/>
      <c r="B2213" s="12"/>
      <c r="C2213" s="25"/>
      <c r="D2213" s="25"/>
      <c r="E2213" s="25"/>
      <c r="F2213" s="242"/>
    </row>
    <row r="2214" spans="1:6" x14ac:dyDescent="0.2">
      <c r="A2214" s="376"/>
      <c r="B2214" s="25" t="s">
        <v>26</v>
      </c>
      <c r="C2214" s="25"/>
      <c r="D2214" s="25"/>
      <c r="E2214" s="25"/>
      <c r="F2214" s="242"/>
    </row>
    <row r="2215" spans="1:6" x14ac:dyDescent="0.2">
      <c r="A2215" s="376"/>
      <c r="B2215" s="26" t="s">
        <v>613</v>
      </c>
      <c r="C2215" s="25"/>
      <c r="D2215" s="25">
        <f>0.8*11</f>
        <v>8.8000000000000007</v>
      </c>
      <c r="E2215" s="25"/>
      <c r="F2215" s="242"/>
    </row>
    <row r="2216" spans="1:6" x14ac:dyDescent="0.2">
      <c r="A2216" s="376"/>
      <c r="B2216" s="103"/>
      <c r="C2216" s="25"/>
      <c r="D2216" s="25"/>
      <c r="E2216" s="25"/>
      <c r="F2216" s="242"/>
    </row>
    <row r="2217" spans="1:6" x14ac:dyDescent="0.2">
      <c r="A2217" s="376"/>
      <c r="B2217" s="25" t="s">
        <v>898</v>
      </c>
      <c r="C2217" s="25"/>
      <c r="D2217" s="25"/>
      <c r="E2217" s="25"/>
      <c r="F2217" s="242"/>
    </row>
    <row r="2218" spans="1:6" x14ac:dyDescent="0.2">
      <c r="A2218" s="376"/>
      <c r="B2218" s="26" t="s">
        <v>613</v>
      </c>
      <c r="C2218" s="25"/>
      <c r="D2218" s="25">
        <f>0.8*11</f>
        <v>8.8000000000000007</v>
      </c>
      <c r="E2218" s="25"/>
      <c r="F2218" s="242"/>
    </row>
    <row r="2219" spans="1:6" x14ac:dyDescent="0.2">
      <c r="A2219" s="376"/>
      <c r="B2219" s="25"/>
      <c r="C2219" s="25"/>
      <c r="D2219" s="25"/>
      <c r="E2219" s="25"/>
      <c r="F2219" s="242"/>
    </row>
    <row r="2220" spans="1:6" x14ac:dyDescent="0.2">
      <c r="A2220" s="376"/>
      <c r="B2220" s="25" t="s">
        <v>899</v>
      </c>
      <c r="C2220" s="25"/>
      <c r="D2220" s="25"/>
      <c r="E2220" s="25"/>
      <c r="F2220" s="242"/>
    </row>
    <row r="2221" spans="1:6" x14ac:dyDescent="0.2">
      <c r="A2221" s="376"/>
      <c r="B2221" s="26" t="s">
        <v>1080</v>
      </c>
      <c r="C2221" s="25"/>
      <c r="D2221" s="25">
        <f>0.8*11*2</f>
        <v>17.600000000000001</v>
      </c>
      <c r="E2221" s="25"/>
      <c r="F2221" s="242"/>
    </row>
    <row r="2222" spans="1:6" x14ac:dyDescent="0.2">
      <c r="A2222" s="376"/>
      <c r="B2222" s="26"/>
      <c r="C2222" s="25"/>
      <c r="D2222" s="25"/>
      <c r="E2222" s="25"/>
      <c r="F2222" s="242"/>
    </row>
    <row r="2223" spans="1:6" x14ac:dyDescent="0.2">
      <c r="A2223" s="376"/>
      <c r="B2223" s="26" t="s">
        <v>909</v>
      </c>
      <c r="C2223" s="25"/>
      <c r="D2223" s="25"/>
      <c r="E2223" s="25"/>
      <c r="F2223" s="242"/>
    </row>
    <row r="2224" spans="1:6" x14ac:dyDescent="0.2">
      <c r="A2224" s="376"/>
      <c r="B2224" s="26" t="s">
        <v>613</v>
      </c>
      <c r="C2224" s="25"/>
      <c r="D2224" s="25">
        <f>0.8*11</f>
        <v>8.8000000000000007</v>
      </c>
      <c r="E2224" s="25"/>
      <c r="F2224" s="242"/>
    </row>
    <row r="2225" spans="1:6" x14ac:dyDescent="0.2">
      <c r="A2225" s="376"/>
      <c r="B2225" s="25"/>
      <c r="C2225" s="25"/>
      <c r="D2225" s="25"/>
      <c r="E2225" s="25"/>
      <c r="F2225" s="242"/>
    </row>
    <row r="2226" spans="1:6" x14ac:dyDescent="0.2">
      <c r="A2226" s="376"/>
      <c r="B2226" s="25" t="s">
        <v>633</v>
      </c>
      <c r="C2226" s="148" t="s">
        <v>38</v>
      </c>
      <c r="D2226" s="149">
        <f>SUM(D2215:D2225)</f>
        <v>44</v>
      </c>
      <c r="E2226" s="40"/>
      <c r="F2226" s="219">
        <f>E2226*D2226</f>
        <v>0</v>
      </c>
    </row>
    <row r="2227" spans="1:6" ht="13.5" thickBot="1" x14ac:dyDescent="0.25">
      <c r="A2227" s="376"/>
      <c r="B2227" s="25"/>
      <c r="C2227" s="25"/>
      <c r="D2227" s="25"/>
      <c r="E2227" s="25"/>
      <c r="F2227" s="242"/>
    </row>
    <row r="2228" spans="1:6" ht="15.75" customHeight="1" thickBot="1" x14ac:dyDescent="0.25">
      <c r="A2228" s="235" t="str">
        <f>A2168</f>
        <v>13.</v>
      </c>
      <c r="B2228" s="52" t="s">
        <v>612</v>
      </c>
      <c r="C2228" s="53"/>
      <c r="D2228" s="54"/>
      <c r="E2228" s="55"/>
      <c r="F2228" s="238">
        <f>SUM(F2169:F2227)</f>
        <v>0</v>
      </c>
    </row>
    <row r="2229" spans="1:6" ht="15.75" customHeight="1" thickBot="1" x14ac:dyDescent="0.25">
      <c r="A2229" s="239" t="s">
        <v>74</v>
      </c>
      <c r="B2229" s="52" t="s">
        <v>18</v>
      </c>
      <c r="C2229" s="53"/>
      <c r="D2229" s="54"/>
      <c r="E2229" s="63"/>
      <c r="F2229" s="237"/>
    </row>
    <row r="2230" spans="1:6" x14ac:dyDescent="0.2">
      <c r="A2230" s="376"/>
      <c r="B2230" s="25"/>
      <c r="C2230" s="25"/>
      <c r="D2230" s="25"/>
      <c r="E2230" s="25"/>
      <c r="F2230" s="242"/>
    </row>
    <row r="2231" spans="1:6" ht="51" x14ac:dyDescent="0.2">
      <c r="A2231" s="234" t="s">
        <v>75</v>
      </c>
      <c r="B2231" s="20" t="s">
        <v>639</v>
      </c>
      <c r="C2231" s="25"/>
      <c r="D2231" s="25"/>
      <c r="E2231" s="25"/>
      <c r="F2231" s="242"/>
    </row>
    <row r="2232" spans="1:6" ht="51" x14ac:dyDescent="0.2">
      <c r="A2232" s="376"/>
      <c r="B2232" s="20" t="s">
        <v>640</v>
      </c>
      <c r="C2232" s="25"/>
      <c r="D2232" s="25"/>
      <c r="E2232" s="25"/>
      <c r="F2232" s="242"/>
    </row>
    <row r="2233" spans="1:6" ht="25.5" x14ac:dyDescent="0.2">
      <c r="A2233" s="376"/>
      <c r="B2233" s="20" t="s">
        <v>641</v>
      </c>
      <c r="C2233" s="25"/>
      <c r="D2233" s="25"/>
      <c r="E2233" s="25"/>
      <c r="F2233" s="242"/>
    </row>
    <row r="2234" spans="1:6" x14ac:dyDescent="0.2">
      <c r="A2234" s="376"/>
      <c r="B2234" s="12" t="s">
        <v>106</v>
      </c>
      <c r="C2234" s="25"/>
      <c r="D2234" s="25"/>
      <c r="E2234" s="25"/>
      <c r="F2234" s="242"/>
    </row>
    <row r="2235" spans="1:6" s="82" customFormat="1" x14ac:dyDescent="0.2">
      <c r="A2235" s="376"/>
      <c r="B2235" s="12"/>
      <c r="C2235" s="25"/>
      <c r="D2235" s="25"/>
      <c r="E2235" s="25"/>
      <c r="F2235" s="242"/>
    </row>
    <row r="2236" spans="1:6" x14ac:dyDescent="0.2">
      <c r="A2236" s="423" t="s">
        <v>680</v>
      </c>
      <c r="B2236" s="12" t="s">
        <v>642</v>
      </c>
      <c r="C2236" s="25"/>
      <c r="D2236" s="25"/>
      <c r="E2236" s="25"/>
      <c r="F2236" s="242"/>
    </row>
    <row r="2237" spans="1:6" x14ac:dyDescent="0.2">
      <c r="A2237" s="376"/>
      <c r="B2237" s="25" t="s">
        <v>26</v>
      </c>
      <c r="C2237" s="25"/>
      <c r="D2237" s="25"/>
      <c r="E2237" s="25"/>
      <c r="F2237" s="242"/>
    </row>
    <row r="2238" spans="1:6" ht="114.75" x14ac:dyDescent="0.2">
      <c r="A2238" s="376"/>
      <c r="B2238" s="26" t="s">
        <v>864</v>
      </c>
      <c r="C2238" s="25"/>
      <c r="D2238" s="65">
        <f>2.67*(8.9+19.21+10+13.86+13.85+10.25+11.58+22.39+9.23+13.79+14.4+12.78+4.84+10.08+22.11+8.72+13.25+7.34+19.33+8.57+13.2+10.34+24.05+8.73+15.17+6.62+23.72+8.34+10.34+24.05+8.73+15.17)+3.47*19.58+2.4*(10.73+69.94+10.97)-(1.5*3.3+(1.8*1.6+0.9*2.5)*5+3*2.4*3+1.38*2.4*2-3*11)</f>
        <v>1391.3044</v>
      </c>
      <c r="E2238" s="25"/>
      <c r="F2238" s="242"/>
    </row>
    <row r="2239" spans="1:6" x14ac:dyDescent="0.2">
      <c r="A2239" s="376"/>
      <c r="B2239" s="25"/>
      <c r="C2239" s="25"/>
      <c r="D2239" s="25"/>
      <c r="E2239" s="25"/>
      <c r="F2239" s="242"/>
    </row>
    <row r="2240" spans="1:6" x14ac:dyDescent="0.2">
      <c r="A2240" s="376"/>
      <c r="B2240" s="25" t="s">
        <v>898</v>
      </c>
      <c r="C2240" s="25"/>
      <c r="D2240" s="25"/>
      <c r="E2240" s="25"/>
      <c r="F2240" s="242"/>
    </row>
    <row r="2241" spans="1:6" ht="114.75" x14ac:dyDescent="0.2">
      <c r="A2241" s="376"/>
      <c r="B2241" s="26" t="s">
        <v>865</v>
      </c>
      <c r="C2241" s="25"/>
      <c r="D2241" s="65">
        <f>2.67*(10.34+24.1+8.73+15.17+4.63+23.46+9.74+13.54+13.75+4.63+10.34+23.97+8.73+15.17+7.46+19.38+8.54+10.1+23.87+13.81+14.4+11.69+4.84+8.9+19.21+10+13.86+13.85+12.94+4.84+8.81+22.09+8.72+13.25+7.34+19.33+8.41+13.2+18.13)+2.4*65.65-(3.01*2.45+(1.8*1.6+0.9*2.5)*6+1.38*2.4*2-3*9)</f>
        <v>1483.5123999999996</v>
      </c>
      <c r="E2241" s="25"/>
      <c r="F2241" s="242"/>
    </row>
    <row r="2242" spans="1:6" x14ac:dyDescent="0.2">
      <c r="A2242" s="376"/>
      <c r="B2242" s="25"/>
      <c r="C2242" s="25"/>
      <c r="D2242" s="25"/>
      <c r="E2242" s="25"/>
      <c r="F2242" s="242"/>
    </row>
    <row r="2243" spans="1:6" x14ac:dyDescent="0.2">
      <c r="A2243" s="376"/>
      <c r="B2243" s="25" t="s">
        <v>899</v>
      </c>
      <c r="C2243" s="25"/>
      <c r="D2243" s="25"/>
      <c r="E2243" s="25"/>
      <c r="F2243" s="242"/>
    </row>
    <row r="2244" spans="1:6" ht="114.75" x14ac:dyDescent="0.2">
      <c r="A2244" s="376"/>
      <c r="B2244" s="26" t="s">
        <v>1081</v>
      </c>
      <c r="C2244" s="25"/>
      <c r="D2244" s="64">
        <f>2*(2.67*(10.34+24.1+8.73+15.17+4.63+23.46+9.74+13.54+13.75+4.63+10.34+23.97+8.73+15.17+7.46+19.38+8.54+10.1+23.87+13.81+14.4+11.69+4.84+8.9+19.21+10+13.86+13.85+12.94+4.84+8.81+22.09+8.72+13.25+7.34+19.33+8.41+13.2+18.13)+2.4*65.65-(3.01*2.45+(1.8*1.6+0.9*2.5)*6+1.38*2.4*2-3*9))</f>
        <v>2967.0247999999992</v>
      </c>
      <c r="E2244" s="25"/>
      <c r="F2244" s="242"/>
    </row>
    <row r="2245" spans="1:6" x14ac:dyDescent="0.2">
      <c r="A2245" s="376"/>
      <c r="B2245" s="26"/>
      <c r="C2245" s="25"/>
      <c r="D2245" s="64"/>
      <c r="E2245" s="25"/>
      <c r="F2245" s="242"/>
    </row>
    <row r="2246" spans="1:6" x14ac:dyDescent="0.2">
      <c r="A2246" s="376"/>
      <c r="B2246" s="26" t="s">
        <v>909</v>
      </c>
      <c r="C2246" s="25"/>
      <c r="D2246" s="64"/>
      <c r="E2246" s="25"/>
      <c r="F2246" s="242"/>
    </row>
    <row r="2247" spans="1:6" ht="51.75" thickBot="1" x14ac:dyDescent="0.25">
      <c r="A2247" s="388"/>
      <c r="B2247" s="292" t="s">
        <v>1082</v>
      </c>
      <c r="C2247" s="288"/>
      <c r="D2247" s="292">
        <f>2.77*(4.99+8.36+4.09+8.08+5.76*3+5.75+9.42+4.15)+2.4*2.56+(2.77+2.5)/2*(3.94+4.15+3.65+1.65+3.73+3.7+3.8*2)+2.77*65.89-(2.85*2.4+1.18*2.4+1*2.1*7)</f>
        <v>411.24639999999994</v>
      </c>
      <c r="E2247" s="71"/>
      <c r="F2247" s="380"/>
    </row>
    <row r="2248" spans="1:6" x14ac:dyDescent="0.2">
      <c r="A2248" s="376"/>
      <c r="B2248" s="64"/>
      <c r="C2248" s="65"/>
      <c r="D2248" s="64"/>
      <c r="E2248" s="25"/>
      <c r="F2248" s="242"/>
    </row>
    <row r="2249" spans="1:6" ht="89.25" x14ac:dyDescent="0.2">
      <c r="A2249" s="376"/>
      <c r="B2249" s="64" t="s">
        <v>1025</v>
      </c>
      <c r="C2249" s="65"/>
      <c r="D2249" s="64">
        <f>2.42*(8.9+19.21+9.84+13.86+13.85+10.25+9.83+19.27+9.23+10.26+14.4+12.78+5.1+10.08+22.17+8.72+13.25+7.4+15.68+10.51+10.34*2+23.97*2+8.83*2+15.17*2+4.04+19.95+6.54+13.54+13.75+4.04)-((1.8*1.6+0.9*2.5)*6+1.5*2.35*2+1.5*2.05*2-3*10)</f>
        <v>1009.8494000000002</v>
      </c>
      <c r="E2249" s="25"/>
      <c r="F2249" s="242"/>
    </row>
    <row r="2250" spans="1:6" x14ac:dyDescent="0.2">
      <c r="A2250" s="376"/>
      <c r="B2250" s="26"/>
      <c r="C2250" s="25"/>
      <c r="D2250" s="65"/>
      <c r="E2250" s="25"/>
      <c r="F2250" s="242"/>
    </row>
    <row r="2251" spans="1:6" x14ac:dyDescent="0.2">
      <c r="A2251" s="424"/>
      <c r="B2251" s="79" t="s">
        <v>637</v>
      </c>
      <c r="C2251" s="80" t="s">
        <v>37</v>
      </c>
      <c r="D2251" s="81">
        <f>SUM(D2238:D2250)</f>
        <v>7262.9373999999989</v>
      </c>
      <c r="E2251" s="39"/>
      <c r="F2251" s="425">
        <f>E2251*D2251</f>
        <v>0</v>
      </c>
    </row>
    <row r="2252" spans="1:6" x14ac:dyDescent="0.2">
      <c r="A2252" s="424"/>
      <c r="B2252" s="79"/>
      <c r="C2252" s="80"/>
      <c r="D2252" s="81"/>
      <c r="E2252" s="39"/>
      <c r="F2252" s="425"/>
    </row>
    <row r="2253" spans="1:6" x14ac:dyDescent="0.2">
      <c r="A2253" s="423" t="s">
        <v>681</v>
      </c>
      <c r="B2253" s="12" t="s">
        <v>643</v>
      </c>
      <c r="C2253" s="25"/>
      <c r="D2253" s="25"/>
      <c r="E2253" s="25"/>
      <c r="F2253" s="242"/>
    </row>
    <row r="2254" spans="1:6" x14ac:dyDescent="0.2">
      <c r="A2254" s="424"/>
      <c r="B2254" s="25" t="s">
        <v>26</v>
      </c>
      <c r="C2254" s="25"/>
      <c r="D2254" s="25"/>
      <c r="E2254" s="25"/>
      <c r="F2254" s="242"/>
    </row>
    <row r="2255" spans="1:6" ht="25.5" x14ac:dyDescent="0.2">
      <c r="A2255" s="424"/>
      <c r="B2255" s="26" t="s">
        <v>825</v>
      </c>
      <c r="C2255" s="25"/>
      <c r="D2255" s="65">
        <f>67.74+78.79+42.07+44.36+53.35+33.68+53.19+32.88+52.7+7.46</f>
        <v>466.21999999999997</v>
      </c>
      <c r="E2255" s="25"/>
      <c r="F2255" s="242"/>
    </row>
    <row r="2256" spans="1:6" x14ac:dyDescent="0.2">
      <c r="A2256" s="424"/>
      <c r="B2256" s="25"/>
      <c r="C2256" s="25"/>
      <c r="D2256" s="25"/>
      <c r="E2256" s="25"/>
      <c r="F2256" s="242"/>
    </row>
    <row r="2257" spans="1:6" x14ac:dyDescent="0.2">
      <c r="A2257" s="424"/>
      <c r="B2257" s="25" t="s">
        <v>898</v>
      </c>
      <c r="C2257" s="25"/>
      <c r="D2257" s="25"/>
      <c r="E2257" s="25"/>
      <c r="F2257" s="242"/>
    </row>
    <row r="2258" spans="1:6" ht="25.5" x14ac:dyDescent="0.2">
      <c r="A2258" s="424"/>
      <c r="B2258" s="26" t="s">
        <v>866</v>
      </c>
      <c r="C2258" s="25"/>
      <c r="D2258" s="65">
        <f>53.35+60.06+52.94+34.24+67.74+78.79+42.07+44.35+49.95</f>
        <v>483.49</v>
      </c>
      <c r="E2258" s="25"/>
      <c r="F2258" s="242"/>
    </row>
    <row r="2259" spans="1:6" x14ac:dyDescent="0.2">
      <c r="A2259" s="424"/>
      <c r="B2259" s="26"/>
      <c r="C2259" s="25"/>
      <c r="D2259" s="25"/>
      <c r="E2259" s="25"/>
      <c r="F2259" s="242"/>
    </row>
    <row r="2260" spans="1:6" x14ac:dyDescent="0.2">
      <c r="A2260" s="424"/>
      <c r="B2260" s="25" t="s">
        <v>899</v>
      </c>
      <c r="C2260" s="16"/>
      <c r="D2260" s="78"/>
      <c r="E2260" s="25"/>
      <c r="F2260" s="242"/>
    </row>
    <row r="2261" spans="1:6" ht="25.5" x14ac:dyDescent="0.2">
      <c r="A2261" s="424"/>
      <c r="B2261" s="26" t="s">
        <v>1085</v>
      </c>
      <c r="C2261" s="16"/>
      <c r="D2261" s="103">
        <f>(53.35+60.06+52.94+34.24+67.74+78.79+42.07+44.35+49.95)*2</f>
        <v>966.98</v>
      </c>
      <c r="E2261" s="25"/>
      <c r="F2261" s="242"/>
    </row>
    <row r="2262" spans="1:6" x14ac:dyDescent="0.2">
      <c r="A2262" s="424"/>
      <c r="B2262" s="24"/>
      <c r="C2262" s="16"/>
      <c r="D2262" s="24"/>
      <c r="E2262" s="25"/>
      <c r="F2262" s="242"/>
    </row>
    <row r="2263" spans="1:6" x14ac:dyDescent="0.2">
      <c r="A2263" s="424"/>
      <c r="B2263" s="25" t="s">
        <v>909</v>
      </c>
      <c r="C2263" s="25"/>
      <c r="D2263" s="25"/>
      <c r="E2263" s="25"/>
      <c r="F2263" s="242"/>
    </row>
    <row r="2264" spans="1:6" ht="25.5" x14ac:dyDescent="0.2">
      <c r="A2264" s="424"/>
      <c r="B2264" s="26" t="s">
        <v>866</v>
      </c>
      <c r="C2264" s="25"/>
      <c r="D2264" s="65">
        <f>53.35+60.06+52.94+34.24+67.74+78.79+42.07+44.35+49.95</f>
        <v>483.49</v>
      </c>
      <c r="E2264" s="25"/>
      <c r="F2264" s="242"/>
    </row>
    <row r="2265" spans="1:6" x14ac:dyDescent="0.2">
      <c r="A2265" s="424"/>
      <c r="B2265" s="24"/>
      <c r="C2265" s="16"/>
      <c r="D2265" s="24"/>
      <c r="E2265" s="25"/>
      <c r="F2265" s="242"/>
    </row>
    <row r="2266" spans="1:6" x14ac:dyDescent="0.2">
      <c r="A2266" s="424"/>
      <c r="B2266" s="79" t="s">
        <v>1083</v>
      </c>
      <c r="C2266" s="80" t="s">
        <v>37</v>
      </c>
      <c r="D2266" s="81">
        <f>SUM(D2254:D2265)</f>
        <v>2400.1800000000003</v>
      </c>
      <c r="E2266" s="39"/>
      <c r="F2266" s="425">
        <f>E2266*D2266</f>
        <v>0</v>
      </c>
    </row>
    <row r="2267" spans="1:6" x14ac:dyDescent="0.2">
      <c r="A2267" s="424"/>
      <c r="B2267" s="79"/>
      <c r="C2267" s="80"/>
      <c r="D2267" s="81"/>
      <c r="E2267" s="39"/>
      <c r="F2267" s="425"/>
    </row>
    <row r="2268" spans="1:6" ht="25.5" x14ac:dyDescent="0.2">
      <c r="A2268" s="399" t="s">
        <v>682</v>
      </c>
      <c r="B2268" s="20" t="s">
        <v>644</v>
      </c>
      <c r="C2268" s="16"/>
      <c r="D2268" s="19"/>
      <c r="E2268" s="18"/>
      <c r="F2268" s="425"/>
    </row>
    <row r="2269" spans="1:6" x14ac:dyDescent="0.2">
      <c r="A2269" s="424"/>
      <c r="B2269" s="25" t="s">
        <v>898</v>
      </c>
      <c r="C2269" s="16"/>
      <c r="D2269" s="19"/>
      <c r="E2269" s="18"/>
      <c r="F2269" s="425"/>
    </row>
    <row r="2270" spans="1:6" x14ac:dyDescent="0.2">
      <c r="A2270" s="424"/>
      <c r="B2270" s="26" t="s">
        <v>614</v>
      </c>
      <c r="C2270" s="16"/>
      <c r="D2270" s="19">
        <f>1.38*3.12*2+0.97*2.85</f>
        <v>11.3757</v>
      </c>
      <c r="E2270" s="18"/>
      <c r="F2270" s="425"/>
    </row>
    <row r="2271" spans="1:6" x14ac:dyDescent="0.2">
      <c r="A2271" s="424"/>
      <c r="B2271" s="25"/>
      <c r="C2271" s="16"/>
      <c r="D2271" s="19"/>
      <c r="E2271" s="18"/>
      <c r="F2271" s="425"/>
    </row>
    <row r="2272" spans="1:6" x14ac:dyDescent="0.2">
      <c r="A2272" s="424"/>
      <c r="B2272" s="25" t="s">
        <v>899</v>
      </c>
      <c r="C2272" s="16"/>
      <c r="D2272" s="19"/>
      <c r="E2272" s="18"/>
      <c r="F2272" s="425"/>
    </row>
    <row r="2273" spans="1:6" x14ac:dyDescent="0.2">
      <c r="A2273" s="424"/>
      <c r="B2273" s="26" t="s">
        <v>615</v>
      </c>
      <c r="C2273" s="16"/>
      <c r="D2273" s="19">
        <f>1.38*3.12*2*3+0.97*2.85*3</f>
        <v>34.127099999999999</v>
      </c>
      <c r="E2273" s="18"/>
      <c r="F2273" s="425"/>
    </row>
    <row r="2274" spans="1:6" x14ac:dyDescent="0.2">
      <c r="A2274" s="424"/>
      <c r="B2274" s="26"/>
      <c r="C2274" s="16"/>
      <c r="D2274" s="19"/>
      <c r="E2274" s="18"/>
      <c r="F2274" s="425"/>
    </row>
    <row r="2275" spans="1:6" x14ac:dyDescent="0.2">
      <c r="A2275" s="424"/>
      <c r="B2275" s="25" t="s">
        <v>909</v>
      </c>
      <c r="C2275" s="16"/>
      <c r="D2275" s="19"/>
      <c r="E2275" s="18"/>
      <c r="F2275" s="425"/>
    </row>
    <row r="2276" spans="1:6" x14ac:dyDescent="0.2">
      <c r="A2276" s="424"/>
      <c r="B2276" s="26" t="s">
        <v>614</v>
      </c>
      <c r="C2276" s="16"/>
      <c r="D2276" s="19">
        <f>1.38*3.12*2+0.97*2.85</f>
        <v>11.3757</v>
      </c>
      <c r="E2276" s="18"/>
      <c r="F2276" s="425"/>
    </row>
    <row r="2277" spans="1:6" x14ac:dyDescent="0.2">
      <c r="A2277" s="424"/>
      <c r="B2277" s="24"/>
      <c r="C2277" s="16"/>
      <c r="D2277" s="19"/>
      <c r="E2277" s="18"/>
      <c r="F2277" s="425"/>
    </row>
    <row r="2278" spans="1:6" x14ac:dyDescent="0.2">
      <c r="A2278" s="424"/>
      <c r="B2278" s="79" t="s">
        <v>1084</v>
      </c>
      <c r="C2278" s="16" t="s">
        <v>37</v>
      </c>
      <c r="D2278" s="24">
        <f>SUM(D2270:D2277)</f>
        <v>56.878500000000003</v>
      </c>
      <c r="E2278" s="39"/>
      <c r="F2278" s="215">
        <f>E2278*D2278</f>
        <v>0</v>
      </c>
    </row>
    <row r="2279" spans="1:6" ht="13.5" thickBot="1" x14ac:dyDescent="0.25">
      <c r="A2279" s="376"/>
      <c r="B2279" s="12"/>
      <c r="C2279" s="66"/>
      <c r="D2279" s="29"/>
      <c r="E2279" s="94"/>
      <c r="F2279" s="215"/>
    </row>
    <row r="2280" spans="1:6" ht="15.75" customHeight="1" thickBot="1" x14ac:dyDescent="0.25">
      <c r="A2280" s="235" t="str">
        <f>A2229</f>
        <v>14.</v>
      </c>
      <c r="B2280" s="52" t="s">
        <v>45</v>
      </c>
      <c r="C2280" s="53"/>
      <c r="D2280" s="54"/>
      <c r="E2280" s="55"/>
      <c r="F2280" s="238">
        <f>SUM(F2231:F2279)</f>
        <v>0</v>
      </c>
    </row>
    <row r="2281" spans="1:6" ht="15.75" customHeight="1" thickBot="1" x14ac:dyDescent="0.25">
      <c r="A2281" s="239" t="s">
        <v>76</v>
      </c>
      <c r="B2281" s="61" t="s">
        <v>19</v>
      </c>
      <c r="C2281" s="62"/>
      <c r="D2281" s="63"/>
      <c r="E2281" s="63"/>
      <c r="F2281" s="241"/>
    </row>
    <row r="2282" spans="1:6" x14ac:dyDescent="0.2">
      <c r="A2282" s="376"/>
      <c r="B2282" s="25"/>
      <c r="C2282" s="25"/>
      <c r="D2282" s="25"/>
      <c r="E2282" s="68"/>
      <c r="F2282" s="242"/>
    </row>
    <row r="2283" spans="1:6" ht="38.25" x14ac:dyDescent="0.2">
      <c r="A2283" s="213" t="s">
        <v>77</v>
      </c>
      <c r="B2283" s="20" t="s">
        <v>645</v>
      </c>
      <c r="C2283" s="25"/>
      <c r="D2283" s="25"/>
      <c r="E2283" s="25"/>
      <c r="F2283" s="242"/>
    </row>
    <row r="2284" spans="1:6" ht="63.75" x14ac:dyDescent="0.2">
      <c r="A2284" s="376"/>
      <c r="B2284" s="20" t="s">
        <v>646</v>
      </c>
      <c r="C2284" s="25"/>
      <c r="D2284" s="25"/>
      <c r="E2284" s="25"/>
      <c r="F2284" s="242"/>
    </row>
    <row r="2285" spans="1:6" ht="25.5" x14ac:dyDescent="0.2">
      <c r="A2285" s="119"/>
      <c r="B2285" s="162" t="s">
        <v>647</v>
      </c>
      <c r="C2285" s="150"/>
      <c r="D2285" s="150"/>
      <c r="E2285" s="150"/>
      <c r="F2285" s="426"/>
    </row>
    <row r="2286" spans="1:6" ht="25.5" x14ac:dyDescent="0.2">
      <c r="A2286" s="119"/>
      <c r="B2286" s="162" t="s">
        <v>648</v>
      </c>
      <c r="C2286" s="150"/>
      <c r="D2286" s="150"/>
      <c r="E2286" s="150"/>
      <c r="F2286" s="426"/>
    </row>
    <row r="2287" spans="1:6" ht="25.5" x14ac:dyDescent="0.2">
      <c r="A2287" s="119"/>
      <c r="B2287" s="162" t="s">
        <v>649</v>
      </c>
      <c r="C2287" s="150"/>
      <c r="D2287" s="150"/>
      <c r="E2287" s="150"/>
      <c r="F2287" s="426"/>
    </row>
    <row r="2288" spans="1:6" x14ac:dyDescent="0.2">
      <c r="A2288" s="119"/>
      <c r="B2288" s="163" t="s">
        <v>40</v>
      </c>
      <c r="C2288" s="150"/>
      <c r="D2288" s="150"/>
      <c r="E2288" s="150"/>
      <c r="F2288" s="426"/>
    </row>
    <row r="2289" spans="1:11" x14ac:dyDescent="0.2">
      <c r="A2289" s="119"/>
      <c r="B2289" s="150"/>
      <c r="C2289" s="150"/>
      <c r="D2289" s="150"/>
      <c r="E2289" s="150"/>
      <c r="F2289" s="426"/>
    </row>
    <row r="2290" spans="1:11" x14ac:dyDescent="0.2">
      <c r="A2290" s="119"/>
      <c r="B2290" s="164" t="s">
        <v>1086</v>
      </c>
      <c r="C2290" s="206" t="s">
        <v>37</v>
      </c>
      <c r="D2290" s="207">
        <f>18.5*146.13</f>
        <v>2703.4049999999997</v>
      </c>
      <c r="E2290" s="162"/>
      <c r="F2290" s="427">
        <f>D2290*E2290</f>
        <v>0</v>
      </c>
    </row>
    <row r="2291" spans="1:11" x14ac:dyDescent="0.2">
      <c r="A2291" s="119"/>
      <c r="B2291" s="150"/>
      <c r="C2291" s="150"/>
      <c r="D2291" s="150"/>
      <c r="E2291" s="150"/>
      <c r="F2291" s="426"/>
    </row>
    <row r="2292" spans="1:11" ht="51" x14ac:dyDescent="0.2">
      <c r="A2292" s="118" t="s">
        <v>78</v>
      </c>
      <c r="B2292" s="25" t="s">
        <v>650</v>
      </c>
      <c r="C2292" s="150"/>
      <c r="D2292" s="150"/>
      <c r="E2292" s="150"/>
      <c r="F2292" s="426"/>
    </row>
    <row r="2293" spans="1:11" ht="38.25" x14ac:dyDescent="0.2">
      <c r="A2293" s="118"/>
      <c r="B2293" s="25" t="s">
        <v>651</v>
      </c>
      <c r="C2293" s="150"/>
      <c r="D2293" s="150"/>
      <c r="E2293" s="150"/>
      <c r="F2293" s="426"/>
    </row>
    <row r="2294" spans="1:11" ht="51" x14ac:dyDescent="0.2">
      <c r="A2294" s="118"/>
      <c r="B2294" s="115" t="s">
        <v>163</v>
      </c>
      <c r="C2294" s="150"/>
      <c r="D2294" s="150"/>
      <c r="E2294" s="150"/>
      <c r="F2294" s="426"/>
    </row>
    <row r="2295" spans="1:11" ht="25.5" x14ac:dyDescent="0.2">
      <c r="A2295" s="118"/>
      <c r="B2295" s="35" t="s">
        <v>164</v>
      </c>
      <c r="C2295" s="150"/>
      <c r="D2295" s="150"/>
      <c r="E2295" s="150"/>
      <c r="F2295" s="426"/>
    </row>
    <row r="2296" spans="1:11" x14ac:dyDescent="0.2">
      <c r="A2296" s="118"/>
      <c r="B2296" s="15"/>
      <c r="C2296" s="150"/>
      <c r="D2296" s="150"/>
      <c r="E2296" s="150"/>
      <c r="F2296" s="426"/>
    </row>
    <row r="2297" spans="1:11" x14ac:dyDescent="0.2">
      <c r="A2297" s="118"/>
      <c r="B2297" s="14" t="s">
        <v>1423</v>
      </c>
      <c r="C2297" s="150"/>
      <c r="D2297" s="150"/>
      <c r="E2297" s="150"/>
      <c r="F2297" s="426"/>
    </row>
    <row r="2298" spans="1:11" x14ac:dyDescent="0.2">
      <c r="A2298" s="119"/>
      <c r="B2298" s="164" t="s">
        <v>26</v>
      </c>
      <c r="C2298" s="165"/>
      <c r="D2298" s="166"/>
      <c r="E2298" s="150"/>
      <c r="F2298" s="426"/>
    </row>
    <row r="2299" spans="1:11" ht="51" x14ac:dyDescent="0.2">
      <c r="A2299" s="119"/>
      <c r="B2299" s="212" t="s">
        <v>1422</v>
      </c>
      <c r="C2299" s="165"/>
      <c r="D2299" s="212">
        <f>0.3*((1.4*2+2.7)*5+1.1+1.99+1.03+2.73*2+1.03+1.98)+2.72*((0.3*2+0.8*2)*2+1.23+0.35)+(3*1.2+0.15*1.2*2+0.15*3*2)*5</f>
        <v>52.592599999999997</v>
      </c>
      <c r="E2299" s="211"/>
      <c r="F2299" s="427">
        <f>D2299*E2299</f>
        <v>0</v>
      </c>
    </row>
    <row r="2300" spans="1:11" s="82" customFormat="1" x14ac:dyDescent="0.2">
      <c r="A2300" s="119"/>
      <c r="B2300" s="212"/>
      <c r="C2300" s="165"/>
      <c r="D2300" s="223"/>
      <c r="E2300" s="150"/>
      <c r="F2300" s="426"/>
      <c r="G2300" s="8"/>
      <c r="H2300" s="8"/>
      <c r="I2300" s="8"/>
      <c r="J2300" s="8"/>
      <c r="K2300" s="8"/>
    </row>
    <row r="2301" spans="1:11" x14ac:dyDescent="0.2">
      <c r="A2301" s="119"/>
      <c r="B2301" s="212" t="s">
        <v>1087</v>
      </c>
      <c r="C2301" s="165"/>
      <c r="D2301" s="223"/>
      <c r="E2301" s="150"/>
      <c r="F2301" s="426"/>
    </row>
    <row r="2302" spans="1:11" ht="38.25" x14ac:dyDescent="0.2">
      <c r="A2302" s="119"/>
      <c r="B2302" s="212" t="s">
        <v>1089</v>
      </c>
      <c r="C2302" s="165"/>
      <c r="D2302" s="223">
        <f>3*0.3*((1.4*2+2.7)*6+1.1+1.99+1.03+2.73*2+1.03+1.98)+2*2.72*((0.3*2+0.8*2)*2+1.23+1.35+0.35)</f>
        <v>80.906200000000013</v>
      </c>
      <c r="E2302" s="150"/>
      <c r="F2302" s="426"/>
    </row>
    <row r="2303" spans="1:11" x14ac:dyDescent="0.2">
      <c r="A2303" s="119"/>
      <c r="B2303" s="212"/>
      <c r="C2303" s="165"/>
      <c r="D2303" s="223"/>
      <c r="E2303" s="150"/>
      <c r="F2303" s="426"/>
    </row>
    <row r="2304" spans="1:11" x14ac:dyDescent="0.2">
      <c r="A2304" s="119"/>
      <c r="B2304" s="208" t="s">
        <v>909</v>
      </c>
      <c r="C2304" s="150"/>
      <c r="D2304" s="206"/>
      <c r="E2304" s="150"/>
      <c r="F2304" s="426"/>
    </row>
    <row r="2305" spans="1:11" ht="39" thickBot="1" x14ac:dyDescent="0.25">
      <c r="A2305" s="360"/>
      <c r="B2305" s="361" t="s">
        <v>1090</v>
      </c>
      <c r="C2305" s="362"/>
      <c r="D2305" s="363">
        <f>0.3*((1.4*2+2.7)*6+1.1+1.99+1.03+2.73*2+1.03+1.98)+2.72*((0.3*2+0.8*2)+1.23+1.35+0.35)</f>
        <v>27.630600000000001</v>
      </c>
      <c r="E2305" s="362"/>
      <c r="F2305" s="428"/>
    </row>
    <row r="2306" spans="1:11" x14ac:dyDescent="0.2">
      <c r="A2306" s="119"/>
      <c r="B2306" s="212"/>
      <c r="C2306" s="150"/>
      <c r="D2306" s="223"/>
      <c r="E2306" s="150"/>
      <c r="F2306" s="426"/>
    </row>
    <row r="2307" spans="1:11" ht="25.5" x14ac:dyDescent="0.2">
      <c r="A2307" s="119"/>
      <c r="B2307" s="208" t="s">
        <v>1427</v>
      </c>
      <c r="C2307" s="150"/>
      <c r="D2307" s="209"/>
      <c r="E2307" s="150"/>
      <c r="F2307" s="426"/>
    </row>
    <row r="2308" spans="1:11" ht="51" x14ac:dyDescent="0.2">
      <c r="A2308" s="119"/>
      <c r="B2308" s="164" t="s">
        <v>372</v>
      </c>
      <c r="C2308" s="165"/>
      <c r="D2308" s="207">
        <f>2.58*(0.76*4+0.53*2+1.14*2+0.53*2+0.89*10+0.59*10+0.84*2+0.66*2+0.81*10+0.53*10+0.77*4+0.66*4+1.29*2+1.19*2+0.53*4)</f>
        <v>132.71520000000001</v>
      </c>
      <c r="E2308" s="163"/>
      <c r="F2308" s="427">
        <f>E2308*D2308</f>
        <v>0</v>
      </c>
    </row>
    <row r="2309" spans="1:11" x14ac:dyDescent="0.2">
      <c r="A2309" s="120"/>
      <c r="B2309" s="163"/>
      <c r="C2309" s="165"/>
      <c r="D2309" s="166"/>
      <c r="E2309" s="150"/>
      <c r="F2309" s="426"/>
      <c r="G2309" s="82"/>
      <c r="H2309" s="97"/>
    </row>
    <row r="2310" spans="1:11" x14ac:dyDescent="0.2">
      <c r="A2310" s="119"/>
      <c r="B2310" s="150" t="s">
        <v>171</v>
      </c>
      <c r="C2310" s="210" t="s">
        <v>37</v>
      </c>
      <c r="D2310" s="164">
        <f>SUM(D2299:D2309)</f>
        <v>293.84460000000001</v>
      </c>
      <c r="E2310" s="211"/>
      <c r="F2310" s="427">
        <f>D2310*E2310</f>
        <v>0</v>
      </c>
      <c r="G2310" s="11"/>
      <c r="H2310" s="83"/>
    </row>
    <row r="2311" spans="1:11" x14ac:dyDescent="0.2">
      <c r="A2311" s="118"/>
      <c r="B2311" s="151"/>
      <c r="C2311" s="150"/>
      <c r="D2311" s="150"/>
      <c r="E2311" s="150"/>
      <c r="F2311" s="426"/>
      <c r="G2311" s="82"/>
      <c r="H2311" s="82"/>
      <c r="I2311" s="82"/>
      <c r="J2311" s="82"/>
      <c r="K2311" s="82"/>
    </row>
    <row r="2312" spans="1:11" ht="38.25" x14ac:dyDescent="0.2">
      <c r="A2312" s="121" t="s">
        <v>148</v>
      </c>
      <c r="B2312" s="157" t="s">
        <v>652</v>
      </c>
      <c r="C2312" s="152"/>
      <c r="D2312" s="153"/>
      <c r="E2312" s="153"/>
      <c r="F2312" s="429"/>
    </row>
    <row r="2313" spans="1:11" ht="25.5" x14ac:dyDescent="0.2">
      <c r="A2313" s="122"/>
      <c r="B2313" s="88" t="s">
        <v>433</v>
      </c>
      <c r="C2313" s="152"/>
      <c r="D2313" s="153"/>
      <c r="E2313" s="153"/>
      <c r="F2313" s="429"/>
    </row>
    <row r="2314" spans="1:11" ht="102" x14ac:dyDescent="0.2">
      <c r="A2314" s="122"/>
      <c r="B2314" s="88" t="s">
        <v>434</v>
      </c>
      <c r="C2314" s="152"/>
      <c r="D2314" s="153"/>
      <c r="E2314" s="153"/>
      <c r="F2314" s="429"/>
    </row>
    <row r="2315" spans="1:11" ht="51" x14ac:dyDescent="0.2">
      <c r="A2315" s="122"/>
      <c r="B2315" s="82" t="s">
        <v>435</v>
      </c>
      <c r="C2315" s="152"/>
      <c r="D2315" s="153"/>
      <c r="E2315" s="153"/>
      <c r="F2315" s="429"/>
    </row>
    <row r="2316" spans="1:11" ht="25.5" x14ac:dyDescent="0.2">
      <c r="A2316" s="122"/>
      <c r="B2316" s="157" t="s">
        <v>115</v>
      </c>
      <c r="C2316" s="152"/>
      <c r="D2316" s="153"/>
      <c r="E2316" s="153"/>
      <c r="F2316" s="429"/>
    </row>
    <row r="2317" spans="1:11" ht="12.75" customHeight="1" x14ac:dyDescent="0.2">
      <c r="A2317" s="122"/>
      <c r="B2317" s="161" t="s">
        <v>40</v>
      </c>
      <c r="C2317" s="152"/>
      <c r="D2317" s="153"/>
      <c r="E2317" s="153"/>
      <c r="F2317" s="429"/>
    </row>
    <row r="2318" spans="1:11" s="82" customFormat="1" x14ac:dyDescent="0.2">
      <c r="A2318" s="122"/>
      <c r="B2318" s="167"/>
      <c r="C2318" s="152"/>
      <c r="D2318" s="153"/>
      <c r="E2318" s="153"/>
      <c r="F2318" s="429"/>
    </row>
    <row r="2319" spans="1:11" x14ac:dyDescent="0.2">
      <c r="A2319" s="119"/>
      <c r="B2319" s="164" t="s">
        <v>26</v>
      </c>
      <c r="C2319" s="165"/>
      <c r="D2319" s="166"/>
      <c r="E2319" s="150"/>
      <c r="F2319" s="426"/>
      <c r="G2319" s="82"/>
      <c r="H2319" s="82"/>
    </row>
    <row r="2320" spans="1:11" ht="38.25" x14ac:dyDescent="0.2">
      <c r="A2320" s="119"/>
      <c r="B2320" s="212" t="s">
        <v>1088</v>
      </c>
      <c r="C2320" s="165"/>
      <c r="D2320" s="223">
        <f>0.3*((1.4*2+2.7)*5+1.1+1.99+1.03+2.73*2+1.03+1.98)+2.72*((0.3*2+0.8*2)*2+1.23+0.35)</f>
        <v>28.2926</v>
      </c>
      <c r="E2320" s="150"/>
      <c r="F2320" s="395"/>
      <c r="G2320" s="82"/>
      <c r="H2320" s="82"/>
    </row>
    <row r="2321" spans="1:11" x14ac:dyDescent="0.2">
      <c r="A2321" s="119"/>
      <c r="B2321" s="212"/>
      <c r="C2321" s="165"/>
      <c r="D2321" s="223"/>
      <c r="E2321" s="150"/>
      <c r="F2321" s="395"/>
      <c r="G2321" s="96"/>
      <c r="H2321" s="82"/>
      <c r="I2321" s="82"/>
      <c r="J2321" s="82"/>
      <c r="K2321" s="82"/>
    </row>
    <row r="2322" spans="1:11" x14ac:dyDescent="0.2">
      <c r="A2322" s="119"/>
      <c r="B2322" s="212" t="s">
        <v>1087</v>
      </c>
      <c r="C2322" s="165"/>
      <c r="D2322" s="223"/>
      <c r="E2322" s="150"/>
      <c r="F2322" s="395"/>
      <c r="G2322" s="82"/>
      <c r="H2322" s="82"/>
    </row>
    <row r="2323" spans="1:11" ht="38.25" x14ac:dyDescent="0.2">
      <c r="A2323" s="119"/>
      <c r="B2323" s="212" t="s">
        <v>1089</v>
      </c>
      <c r="C2323" s="165"/>
      <c r="D2323" s="223">
        <f>3*0.3*((1.4*2+2.7)*6+1.1+1.99+1.03+2.73*2+1.03+1.98)+2*2.72*((0.3*2+0.8*2)*2+1.23+1.35+0.35)</f>
        <v>80.906200000000013</v>
      </c>
      <c r="E2323" s="150"/>
      <c r="F2323" s="395"/>
      <c r="G2323" s="82"/>
      <c r="H2323" s="82"/>
    </row>
    <row r="2324" spans="1:11" x14ac:dyDescent="0.2">
      <c r="A2324" s="119"/>
      <c r="B2324" s="212"/>
      <c r="C2324" s="165"/>
      <c r="D2324" s="223"/>
      <c r="E2324" s="163"/>
      <c r="F2324" s="430"/>
      <c r="G2324" s="82"/>
      <c r="H2324" s="82"/>
    </row>
    <row r="2325" spans="1:11" x14ac:dyDescent="0.2">
      <c r="A2325" s="119"/>
      <c r="B2325" s="208" t="s">
        <v>909</v>
      </c>
      <c r="C2325" s="150"/>
      <c r="D2325" s="206"/>
      <c r="E2325" s="163"/>
      <c r="F2325" s="430"/>
      <c r="G2325" s="82"/>
      <c r="H2325" s="82"/>
    </row>
    <row r="2326" spans="1:11" ht="38.25" x14ac:dyDescent="0.2">
      <c r="A2326" s="119"/>
      <c r="B2326" s="212" t="s">
        <v>1090</v>
      </c>
      <c r="C2326" s="150"/>
      <c r="D2326" s="223">
        <f>0.3*((1.4*2+2.7)*6+1.1+1.99+1.03+2.73*2+1.03+1.98)+2.72*((0.3*2+0.8*2)+1.23+1.35+0.35)</f>
        <v>27.630600000000001</v>
      </c>
      <c r="E2326" s="163"/>
      <c r="F2326" s="430">
        <f>+D2326*E2326</f>
        <v>0</v>
      </c>
      <c r="G2326" s="82"/>
      <c r="H2326" s="82"/>
    </row>
    <row r="2327" spans="1:11" x14ac:dyDescent="0.2">
      <c r="A2327" s="119"/>
      <c r="B2327" s="212"/>
      <c r="C2327" s="150"/>
      <c r="D2327" s="223"/>
      <c r="E2327" s="163"/>
      <c r="F2327" s="430"/>
      <c r="G2327" s="82"/>
      <c r="H2327" s="82"/>
    </row>
    <row r="2328" spans="1:11" ht="25.5" x14ac:dyDescent="0.2">
      <c r="A2328" s="119"/>
      <c r="B2328" s="208" t="s">
        <v>1428</v>
      </c>
      <c r="C2328" s="150"/>
      <c r="D2328" s="209"/>
      <c r="E2328" s="163"/>
      <c r="F2328" s="430"/>
      <c r="G2328" s="82"/>
      <c r="H2328" s="82"/>
    </row>
    <row r="2329" spans="1:11" ht="51.75" thickBot="1" x14ac:dyDescent="0.25">
      <c r="A2329" s="360"/>
      <c r="B2329" s="364" t="s">
        <v>372</v>
      </c>
      <c r="C2329" s="365"/>
      <c r="D2329" s="366">
        <f>2.58*(0.76*4+0.53*2+1.14*2+0.53*2+0.89*10+0.59*10+0.84*2+0.66*2+0.81*10+0.53*10+0.77*4+0.66*4+1.29*2+1.19*2+0.53*4)</f>
        <v>132.71520000000001</v>
      </c>
      <c r="E2329" s="367"/>
      <c r="F2329" s="431"/>
      <c r="G2329" s="82"/>
      <c r="H2329" s="82"/>
    </row>
    <row r="2330" spans="1:11" x14ac:dyDescent="0.2">
      <c r="A2330" s="119"/>
      <c r="B2330" s="164"/>
      <c r="C2330" s="165"/>
      <c r="D2330" s="207"/>
      <c r="E2330" s="163"/>
      <c r="F2330" s="430"/>
      <c r="G2330" s="82"/>
      <c r="H2330" s="82"/>
    </row>
    <row r="2331" spans="1:11" x14ac:dyDescent="0.2">
      <c r="A2331" s="119"/>
      <c r="B2331" s="163" t="s">
        <v>1424</v>
      </c>
      <c r="C2331" s="165"/>
      <c r="D2331" s="166"/>
      <c r="E2331" s="163"/>
      <c r="F2331" s="430"/>
      <c r="G2331" s="82"/>
      <c r="H2331" s="82"/>
    </row>
    <row r="2332" spans="1:11" x14ac:dyDescent="0.2">
      <c r="A2332" s="119"/>
      <c r="B2332" s="19" t="s">
        <v>469</v>
      </c>
      <c r="C2332" s="66"/>
      <c r="D2332" s="26">
        <f>3.12*5.77+3.08*0.85</f>
        <v>20.620399999999997</v>
      </c>
      <c r="E2332" s="163"/>
      <c r="F2332" s="430"/>
      <c r="G2332" s="82"/>
      <c r="H2332" s="82"/>
    </row>
    <row r="2333" spans="1:11" x14ac:dyDescent="0.2">
      <c r="A2333" s="119"/>
      <c r="B2333" s="164"/>
      <c r="C2333" s="165"/>
      <c r="D2333" s="207"/>
      <c r="E2333" s="163"/>
      <c r="F2333" s="430"/>
      <c r="G2333" s="82"/>
      <c r="H2333" s="82"/>
    </row>
    <row r="2334" spans="1:11" ht="25.5" x14ac:dyDescent="0.2">
      <c r="A2334" s="119"/>
      <c r="B2334" s="164" t="s">
        <v>1420</v>
      </c>
      <c r="C2334" s="165"/>
      <c r="D2334" s="207"/>
      <c r="E2334" s="163"/>
      <c r="F2334" s="430"/>
      <c r="G2334" s="82"/>
      <c r="H2334" s="82"/>
    </row>
    <row r="2335" spans="1:11" ht="25.5" x14ac:dyDescent="0.2">
      <c r="A2335" s="119"/>
      <c r="B2335" s="164" t="s">
        <v>1421</v>
      </c>
      <c r="C2335" s="165"/>
      <c r="D2335" s="207">
        <f>(0.15*2+0.55*2)*9.73+(0.4*2+0.15*2)*2.9+(3*1.2+0.15*1.2*2+0.15*3*2)*5</f>
        <v>41.111999999999995</v>
      </c>
      <c r="E2335" s="163"/>
      <c r="F2335" s="430"/>
      <c r="G2335" s="82"/>
      <c r="H2335" s="82"/>
    </row>
    <row r="2336" spans="1:11" x14ac:dyDescent="0.2">
      <c r="A2336" s="119"/>
      <c r="B2336" s="164"/>
      <c r="C2336" s="165"/>
      <c r="D2336" s="207"/>
      <c r="E2336" s="163"/>
      <c r="F2336" s="430"/>
      <c r="G2336" s="82"/>
      <c r="H2336" s="82"/>
    </row>
    <row r="2337" spans="1:8" x14ac:dyDescent="0.2">
      <c r="A2337" s="119"/>
      <c r="B2337" s="150" t="s">
        <v>683</v>
      </c>
      <c r="C2337" s="210" t="s">
        <v>37</v>
      </c>
      <c r="D2337" s="164">
        <f>SUM(D2320:D2336)</f>
        <v>331.27700000000004</v>
      </c>
      <c r="E2337" s="153"/>
      <c r="F2337" s="430">
        <f>D2337*E2337</f>
        <v>0</v>
      </c>
      <c r="G2337" s="82"/>
      <c r="H2337" s="82"/>
    </row>
    <row r="2338" spans="1:8" x14ac:dyDescent="0.2">
      <c r="A2338" s="376"/>
      <c r="B2338" s="25"/>
      <c r="C2338" s="16"/>
      <c r="D2338" s="26"/>
      <c r="E2338" s="131"/>
      <c r="F2338" s="215"/>
      <c r="G2338" s="82"/>
      <c r="H2338" s="82"/>
    </row>
    <row r="2339" spans="1:8" ht="51" x14ac:dyDescent="0.2">
      <c r="A2339" s="213" t="s">
        <v>114</v>
      </c>
      <c r="B2339" s="65" t="s">
        <v>653</v>
      </c>
      <c r="C2339" s="41"/>
      <c r="D2339" s="105"/>
      <c r="E2339" s="12"/>
      <c r="F2339" s="392"/>
      <c r="G2339" s="82"/>
      <c r="H2339" s="82"/>
    </row>
    <row r="2340" spans="1:8" ht="25.5" x14ac:dyDescent="0.2">
      <c r="A2340" s="376"/>
      <c r="B2340" s="88" t="s">
        <v>654</v>
      </c>
      <c r="C2340" s="41"/>
      <c r="D2340" s="105"/>
      <c r="E2340" s="12"/>
      <c r="F2340" s="392"/>
      <c r="G2340" s="82"/>
      <c r="H2340" s="82"/>
    </row>
    <row r="2341" spans="1:8" ht="51" x14ac:dyDescent="0.2">
      <c r="A2341" s="376"/>
      <c r="B2341" s="88" t="s">
        <v>655</v>
      </c>
      <c r="C2341" s="41"/>
      <c r="D2341" s="105"/>
      <c r="E2341" s="12"/>
      <c r="F2341" s="392"/>
      <c r="G2341" s="82"/>
      <c r="H2341" s="82"/>
    </row>
    <row r="2342" spans="1:8" ht="51" x14ac:dyDescent="0.2">
      <c r="A2342" s="376"/>
      <c r="B2342" s="432" t="s">
        <v>447</v>
      </c>
      <c r="C2342" s="41"/>
      <c r="D2342" s="105"/>
      <c r="E2342" s="12"/>
      <c r="F2342" s="392"/>
      <c r="G2342" s="82"/>
      <c r="H2342" s="82"/>
    </row>
    <row r="2343" spans="1:8" ht="38.25" x14ac:dyDescent="0.2">
      <c r="A2343" s="376"/>
      <c r="B2343" s="65" t="s">
        <v>284</v>
      </c>
      <c r="C2343" s="41"/>
      <c r="D2343" s="105"/>
      <c r="E2343" s="12"/>
      <c r="F2343" s="392"/>
      <c r="G2343" s="82"/>
      <c r="H2343" s="82"/>
    </row>
    <row r="2344" spans="1:8" x14ac:dyDescent="0.2">
      <c r="A2344" s="376"/>
      <c r="B2344" s="67" t="s">
        <v>40</v>
      </c>
      <c r="C2344" s="41"/>
      <c r="D2344" s="105"/>
      <c r="E2344" s="12"/>
      <c r="F2344" s="392"/>
      <c r="G2344" s="82"/>
      <c r="H2344" s="82"/>
    </row>
    <row r="2345" spans="1:8" x14ac:dyDescent="0.2">
      <c r="A2345" s="376"/>
      <c r="B2345" s="67"/>
      <c r="C2345" s="41"/>
      <c r="D2345" s="105"/>
      <c r="E2345" s="12"/>
      <c r="F2345" s="392"/>
      <c r="G2345" s="82"/>
      <c r="H2345" s="82"/>
    </row>
    <row r="2346" spans="1:8" ht="25.5" x14ac:dyDescent="0.2">
      <c r="A2346" s="376"/>
      <c r="B2346" s="24" t="s">
        <v>869</v>
      </c>
      <c r="C2346" s="16" t="s">
        <v>37</v>
      </c>
      <c r="D2346" s="24">
        <f>0.3*(20.36+15.15+5.45+1.8+9.66+0.4*2+2.77+14.95+1.8+8.28+13.54)</f>
        <v>28.367999999999999</v>
      </c>
      <c r="E2346" s="153"/>
      <c r="F2346" s="392">
        <f>+D2346*E2346</f>
        <v>0</v>
      </c>
      <c r="G2346" s="82"/>
      <c r="H2346" s="82"/>
    </row>
    <row r="2347" spans="1:8" x14ac:dyDescent="0.2">
      <c r="A2347" s="376"/>
      <c r="B2347" s="24"/>
      <c r="C2347" s="16"/>
      <c r="D2347" s="24"/>
      <c r="E2347" s="131"/>
      <c r="F2347" s="392"/>
      <c r="G2347" s="82"/>
      <c r="H2347" s="82"/>
    </row>
    <row r="2348" spans="1:8" ht="51" x14ac:dyDescent="0.2">
      <c r="A2348" s="213" t="s">
        <v>285</v>
      </c>
      <c r="B2348" s="24" t="s">
        <v>1518</v>
      </c>
      <c r="C2348" s="16"/>
      <c r="D2348" s="24"/>
      <c r="E2348" s="131"/>
      <c r="F2348" s="392"/>
      <c r="G2348" s="82"/>
      <c r="H2348" s="82"/>
    </row>
    <row r="2349" spans="1:8" ht="38.25" x14ac:dyDescent="0.2">
      <c r="A2349" s="213"/>
      <c r="B2349" s="24" t="s">
        <v>1425</v>
      </c>
      <c r="C2349" s="16"/>
      <c r="D2349" s="24"/>
      <c r="E2349" s="131"/>
      <c r="F2349" s="392"/>
      <c r="G2349" s="82"/>
      <c r="H2349" s="82"/>
    </row>
    <row r="2350" spans="1:8" x14ac:dyDescent="0.2">
      <c r="A2350" s="213"/>
      <c r="B2350" s="24" t="s">
        <v>40</v>
      </c>
      <c r="C2350" s="16"/>
      <c r="D2350" s="24"/>
      <c r="E2350" s="131"/>
      <c r="F2350" s="392"/>
      <c r="G2350" s="82"/>
      <c r="H2350" s="82"/>
    </row>
    <row r="2351" spans="1:8" x14ac:dyDescent="0.2">
      <c r="A2351" s="213"/>
      <c r="B2351" s="24"/>
      <c r="C2351" s="16"/>
      <c r="D2351" s="24"/>
      <c r="E2351" s="131"/>
      <c r="F2351" s="392"/>
      <c r="G2351" s="82"/>
      <c r="H2351" s="82"/>
    </row>
    <row r="2352" spans="1:8" x14ac:dyDescent="0.2">
      <c r="A2352" s="376"/>
      <c r="B2352" s="24" t="s">
        <v>1426</v>
      </c>
      <c r="C2352" s="16" t="s">
        <v>37</v>
      </c>
      <c r="D2352" s="24">
        <f>0.75*1.35/2*3+0.75*1.65+3.95+1.2*2</f>
        <v>9.1062500000000011</v>
      </c>
      <c r="E2352" s="131"/>
      <c r="F2352" s="392">
        <f>+D2352*E2352</f>
        <v>0</v>
      </c>
      <c r="G2352" s="82"/>
      <c r="H2352" s="82"/>
    </row>
    <row r="2353" spans="1:8" ht="13.5" thickBot="1" x14ac:dyDescent="0.25">
      <c r="A2353" s="213"/>
      <c r="B2353" s="24"/>
      <c r="C2353" s="16"/>
      <c r="D2353" s="24"/>
      <c r="E2353" s="131"/>
      <c r="F2353" s="392"/>
      <c r="G2353" s="82"/>
      <c r="H2353" s="82"/>
    </row>
    <row r="2354" spans="1:8" ht="15.75" thickBot="1" x14ac:dyDescent="0.25">
      <c r="A2354" s="235" t="str">
        <f>A2281</f>
        <v>15.</v>
      </c>
      <c r="B2354" s="52" t="s">
        <v>0</v>
      </c>
      <c r="C2354" s="53"/>
      <c r="D2354" s="54"/>
      <c r="E2354" s="55"/>
      <c r="F2354" s="238">
        <f>SUM(F2283:F2352)</f>
        <v>0</v>
      </c>
    </row>
    <row r="2355" spans="1:8" ht="15.75" thickBot="1" x14ac:dyDescent="0.25">
      <c r="A2355" s="239" t="s">
        <v>85</v>
      </c>
      <c r="B2355" s="61" t="s">
        <v>20</v>
      </c>
      <c r="C2355" s="62"/>
      <c r="D2355" s="63"/>
      <c r="E2355" s="63"/>
      <c r="F2355" s="241"/>
    </row>
    <row r="2356" spans="1:8" x14ac:dyDescent="0.2">
      <c r="A2356" s="376"/>
      <c r="B2356" s="25"/>
      <c r="C2356" s="25"/>
      <c r="D2356" s="25"/>
      <c r="E2356" s="68"/>
      <c r="F2356" s="242"/>
      <c r="G2356" s="82"/>
      <c r="H2356" s="82"/>
    </row>
    <row r="2357" spans="1:8" ht="63.75" x14ac:dyDescent="0.2">
      <c r="A2357" s="213" t="s">
        <v>86</v>
      </c>
      <c r="B2357" s="30" t="s">
        <v>659</v>
      </c>
      <c r="C2357" s="41"/>
      <c r="D2357" s="18"/>
      <c r="E2357" s="18"/>
      <c r="F2357" s="219"/>
      <c r="G2357" s="82"/>
      <c r="H2357" s="82"/>
    </row>
    <row r="2358" spans="1:8" ht="63.75" x14ac:dyDescent="0.2">
      <c r="A2358" s="376"/>
      <c r="B2358" s="159" t="s">
        <v>244</v>
      </c>
      <c r="C2358" s="16"/>
      <c r="D2358" s="45"/>
      <c r="E2358" s="46"/>
      <c r="F2358" s="215"/>
      <c r="G2358" s="82"/>
      <c r="H2358" s="82"/>
    </row>
    <row r="2359" spans="1:8" x14ac:dyDescent="0.2">
      <c r="A2359" s="376"/>
      <c r="B2359" s="12" t="s">
        <v>96</v>
      </c>
      <c r="C2359" s="16"/>
      <c r="D2359" s="45"/>
      <c r="E2359" s="46"/>
      <c r="F2359" s="215"/>
      <c r="G2359" s="82"/>
      <c r="H2359" s="82"/>
    </row>
    <row r="2360" spans="1:8" x14ac:dyDescent="0.2">
      <c r="A2360" s="376"/>
      <c r="B2360" s="12"/>
      <c r="C2360" s="16"/>
      <c r="D2360" s="45"/>
      <c r="E2360" s="46"/>
      <c r="F2360" s="215"/>
      <c r="G2360" s="82"/>
      <c r="H2360" s="82"/>
    </row>
    <row r="2361" spans="1:8" x14ac:dyDescent="0.2">
      <c r="A2361" s="376"/>
      <c r="B2361" s="24" t="s">
        <v>1429</v>
      </c>
      <c r="C2361" s="16" t="s">
        <v>31</v>
      </c>
      <c r="D2361" s="117">
        <f>7+8*4+1</f>
        <v>40</v>
      </c>
      <c r="E2361" s="12"/>
      <c r="F2361" s="215">
        <f>E2361*D2361</f>
        <v>0</v>
      </c>
      <c r="G2361" s="82"/>
      <c r="H2361" s="82"/>
    </row>
    <row r="2362" spans="1:8" x14ac:dyDescent="0.2">
      <c r="A2362" s="376"/>
      <c r="B2362" s="12"/>
      <c r="C2362" s="16"/>
      <c r="D2362" s="45"/>
      <c r="E2362" s="12"/>
      <c r="F2362" s="215"/>
      <c r="G2362" s="99"/>
      <c r="H2362" s="82"/>
    </row>
    <row r="2363" spans="1:8" ht="38.25" x14ac:dyDescent="0.2">
      <c r="A2363" s="213" t="s">
        <v>88</v>
      </c>
      <c r="B2363" s="159" t="s">
        <v>660</v>
      </c>
      <c r="C2363" s="25"/>
      <c r="D2363" s="25"/>
      <c r="E2363" s="25"/>
      <c r="F2363" s="242"/>
      <c r="G2363" s="99"/>
      <c r="H2363" s="82"/>
    </row>
    <row r="2364" spans="1:8" x14ac:dyDescent="0.2">
      <c r="A2364" s="376"/>
      <c r="B2364" s="12" t="s">
        <v>96</v>
      </c>
      <c r="C2364" s="16" t="s">
        <v>31</v>
      </c>
      <c r="D2364" s="45">
        <v>5</v>
      </c>
      <c r="E2364" s="12"/>
      <c r="F2364" s="215">
        <f>E2364*D2364</f>
        <v>0</v>
      </c>
      <c r="G2364" s="99"/>
      <c r="H2364" s="82"/>
    </row>
    <row r="2365" spans="1:8" x14ac:dyDescent="0.2">
      <c r="A2365" s="376"/>
      <c r="B2365" s="25"/>
      <c r="C2365" s="25"/>
      <c r="D2365" s="25"/>
      <c r="E2365" s="25"/>
      <c r="F2365" s="242"/>
      <c r="G2365" s="85"/>
      <c r="H2365" s="82"/>
    </row>
    <row r="2366" spans="1:8" ht="51" x14ac:dyDescent="0.2">
      <c r="A2366" s="213" t="s">
        <v>87</v>
      </c>
      <c r="B2366" s="389" t="s">
        <v>661</v>
      </c>
      <c r="C2366" s="25"/>
      <c r="D2366" s="25"/>
      <c r="E2366" s="25"/>
      <c r="F2366" s="242"/>
      <c r="G2366" s="85"/>
      <c r="H2366" s="82"/>
    </row>
    <row r="2367" spans="1:8" x14ac:dyDescent="0.2">
      <c r="A2367" s="376"/>
      <c r="B2367" s="12" t="s">
        <v>96</v>
      </c>
      <c r="C2367" s="16" t="s">
        <v>31</v>
      </c>
      <c r="D2367" s="45">
        <v>39</v>
      </c>
      <c r="E2367" s="12"/>
      <c r="F2367" s="215">
        <f>E2367*D2367</f>
        <v>0</v>
      </c>
      <c r="G2367" s="85"/>
      <c r="H2367" s="82"/>
    </row>
    <row r="2368" spans="1:8" x14ac:dyDescent="0.2">
      <c r="A2368" s="376"/>
      <c r="B2368" s="65"/>
      <c r="C2368" s="65"/>
      <c r="D2368" s="65"/>
      <c r="E2368" s="25"/>
      <c r="F2368" s="242"/>
      <c r="G2368" s="85"/>
      <c r="H2368" s="82"/>
    </row>
    <row r="2369" spans="1:8" ht="25.5" x14ac:dyDescent="0.2">
      <c r="A2369" s="213" t="s">
        <v>155</v>
      </c>
      <c r="B2369" s="157" t="s">
        <v>715</v>
      </c>
      <c r="C2369" s="65"/>
      <c r="D2369" s="65"/>
      <c r="E2369" s="25"/>
      <c r="F2369" s="242"/>
      <c r="G2369" s="85"/>
      <c r="H2369" s="82"/>
    </row>
    <row r="2370" spans="1:8" ht="63.75" x14ac:dyDescent="0.2">
      <c r="A2370" s="213"/>
      <c r="B2370" s="389" t="s">
        <v>663</v>
      </c>
      <c r="C2370" s="65"/>
      <c r="D2370" s="65"/>
      <c r="E2370" s="25"/>
      <c r="F2370" s="242"/>
      <c r="G2370" s="85"/>
      <c r="H2370" s="82"/>
    </row>
    <row r="2371" spans="1:8" ht="25.5" x14ac:dyDescent="0.2">
      <c r="A2371" s="213"/>
      <c r="B2371" s="82" t="s">
        <v>664</v>
      </c>
      <c r="C2371" s="65"/>
      <c r="D2371" s="65"/>
      <c r="E2371" s="25"/>
      <c r="F2371" s="242"/>
      <c r="G2371" s="85"/>
      <c r="H2371" s="82"/>
    </row>
    <row r="2372" spans="1:8" x14ac:dyDescent="0.2">
      <c r="A2372" s="213"/>
      <c r="B2372" s="82" t="s">
        <v>662</v>
      </c>
      <c r="C2372" s="65"/>
      <c r="D2372" s="65"/>
      <c r="E2372" s="25"/>
      <c r="F2372" s="242"/>
      <c r="G2372" s="85"/>
      <c r="H2372" s="82"/>
    </row>
    <row r="2373" spans="1:8" x14ac:dyDescent="0.2">
      <c r="A2373" s="213"/>
      <c r="B2373" s="12" t="s">
        <v>96</v>
      </c>
      <c r="C2373" s="16" t="s">
        <v>31</v>
      </c>
      <c r="D2373" s="45">
        <v>1</v>
      </c>
      <c r="E2373" s="12"/>
      <c r="F2373" s="215">
        <f>E2373*D2373</f>
        <v>0</v>
      </c>
      <c r="G2373" s="85"/>
      <c r="H2373" s="82"/>
    </row>
    <row r="2374" spans="1:8" x14ac:dyDescent="0.2">
      <c r="A2374" s="376"/>
      <c r="B2374" s="89"/>
      <c r="C2374" s="25"/>
      <c r="D2374" s="25"/>
      <c r="E2374" s="25"/>
      <c r="F2374" s="242"/>
    </row>
    <row r="2375" spans="1:8" ht="51" x14ac:dyDescent="0.2">
      <c r="A2375" s="213" t="s">
        <v>201</v>
      </c>
      <c r="B2375" s="25" t="s">
        <v>843</v>
      </c>
      <c r="C2375" s="25"/>
      <c r="D2375" s="25"/>
      <c r="E2375" s="25"/>
      <c r="F2375" s="242"/>
    </row>
    <row r="2376" spans="1:8" ht="51" x14ac:dyDescent="0.2">
      <c r="A2376" s="213"/>
      <c r="B2376" s="65" t="s">
        <v>675</v>
      </c>
      <c r="C2376" s="25"/>
      <c r="D2376" s="25"/>
      <c r="E2376" s="25"/>
      <c r="F2376" s="395"/>
    </row>
    <row r="2377" spans="1:8" x14ac:dyDescent="0.2">
      <c r="A2377" s="213"/>
      <c r="B2377" s="65" t="s">
        <v>666</v>
      </c>
      <c r="C2377" s="25"/>
      <c r="D2377" s="25"/>
      <c r="E2377" s="25"/>
      <c r="F2377" s="242"/>
    </row>
    <row r="2378" spans="1:8" x14ac:dyDescent="0.2">
      <c r="A2378" s="213"/>
      <c r="B2378" s="65" t="s">
        <v>665</v>
      </c>
      <c r="C2378" s="27"/>
      <c r="D2378" s="64"/>
      <c r="E2378" s="12"/>
      <c r="F2378" s="215"/>
    </row>
    <row r="2379" spans="1:8" x14ac:dyDescent="0.2">
      <c r="A2379" s="376"/>
      <c r="B2379" s="89"/>
      <c r="C2379" s="27"/>
      <c r="D2379" s="116"/>
      <c r="E2379" s="46"/>
      <c r="F2379" s="433">
        <f>+D2379*E2379</f>
        <v>0</v>
      </c>
    </row>
    <row r="2380" spans="1:8" x14ac:dyDescent="0.2">
      <c r="A2380" s="376"/>
      <c r="B2380" s="89" t="s">
        <v>159</v>
      </c>
      <c r="C2380" s="66" t="s">
        <v>37</v>
      </c>
      <c r="D2380" s="24">
        <v>12.28</v>
      </c>
      <c r="E2380" s="18"/>
      <c r="F2380" s="215">
        <f>E2380*D2380</f>
        <v>0</v>
      </c>
    </row>
    <row r="2381" spans="1:8" x14ac:dyDescent="0.2">
      <c r="A2381" s="376"/>
      <c r="B2381" s="89"/>
      <c r="C2381" s="27"/>
      <c r="D2381" s="116"/>
      <c r="E2381" s="46"/>
      <c r="F2381" s="433"/>
    </row>
    <row r="2382" spans="1:8" ht="13.5" thickBot="1" x14ac:dyDescent="0.25">
      <c r="A2382" s="388"/>
      <c r="B2382" s="368" t="s">
        <v>870</v>
      </c>
      <c r="C2382" s="290" t="s">
        <v>37</v>
      </c>
      <c r="D2382" s="287">
        <v>37.64</v>
      </c>
      <c r="E2382" s="94"/>
      <c r="F2382" s="358">
        <f>E2382*D2382</f>
        <v>0</v>
      </c>
    </row>
    <row r="2383" spans="1:8" x14ac:dyDescent="0.2">
      <c r="A2383" s="376"/>
      <c r="B2383" s="26"/>
      <c r="C2383" s="27"/>
      <c r="D2383" s="64"/>
      <c r="E2383" s="12"/>
      <c r="F2383" s="215"/>
    </row>
    <row r="2384" spans="1:8" ht="38.25" x14ac:dyDescent="0.2">
      <c r="A2384" s="213" t="s">
        <v>95</v>
      </c>
      <c r="B2384" s="157" t="s">
        <v>1345</v>
      </c>
      <c r="C2384" s="41"/>
      <c r="D2384" s="18"/>
      <c r="E2384" s="18"/>
      <c r="F2384" s="219"/>
    </row>
    <row r="2385" spans="1:7" ht="51" x14ac:dyDescent="0.2">
      <c r="A2385" s="376"/>
      <c r="B2385" s="157" t="s">
        <v>1346</v>
      </c>
      <c r="C2385" s="41"/>
      <c r="D2385" s="18"/>
      <c r="E2385" s="18"/>
      <c r="F2385" s="219"/>
      <c r="G2385" s="31"/>
    </row>
    <row r="2386" spans="1:7" x14ac:dyDescent="0.2">
      <c r="A2386" s="376"/>
      <c r="B2386" s="157" t="s">
        <v>93</v>
      </c>
      <c r="C2386" s="41"/>
      <c r="D2386" s="245"/>
      <c r="E2386" s="18"/>
      <c r="F2386" s="215"/>
    </row>
    <row r="2387" spans="1:7" x14ac:dyDescent="0.2">
      <c r="A2387" s="376"/>
      <c r="B2387" s="82"/>
      <c r="C2387" s="41"/>
      <c r="D2387" s="18"/>
      <c r="E2387" s="18"/>
      <c r="F2387" s="219"/>
    </row>
    <row r="2388" spans="1:7" x14ac:dyDescent="0.2">
      <c r="A2388" s="376"/>
      <c r="B2388" s="157" t="s">
        <v>860</v>
      </c>
      <c r="C2388" s="41"/>
      <c r="D2388" s="18"/>
      <c r="E2388" s="18"/>
      <c r="F2388" s="219"/>
    </row>
    <row r="2389" spans="1:7" x14ac:dyDescent="0.2">
      <c r="A2389" s="376"/>
      <c r="B2389" s="31" t="s">
        <v>1347</v>
      </c>
      <c r="C2389" s="41" t="s">
        <v>38</v>
      </c>
      <c r="D2389" s="24">
        <f>15.64*5+14.05*5</f>
        <v>148.44999999999999</v>
      </c>
      <c r="E2389" s="18"/>
      <c r="F2389" s="215">
        <f>E2389*D2389</f>
        <v>0</v>
      </c>
    </row>
    <row r="2390" spans="1:7" x14ac:dyDescent="0.2">
      <c r="A2390" s="376"/>
      <c r="B2390" s="26"/>
      <c r="C2390" s="27"/>
      <c r="D2390" s="64"/>
      <c r="E2390" s="12"/>
      <c r="F2390" s="215"/>
    </row>
    <row r="2391" spans="1:7" ht="25.5" x14ac:dyDescent="0.2">
      <c r="A2391" s="213" t="s">
        <v>108</v>
      </c>
      <c r="B2391" s="26" t="s">
        <v>1432</v>
      </c>
      <c r="C2391" s="27"/>
      <c r="D2391" s="64"/>
      <c r="E2391" s="12"/>
      <c r="F2391" s="215"/>
    </row>
    <row r="2392" spans="1:7" ht="76.5" x14ac:dyDescent="0.2">
      <c r="A2392" s="376"/>
      <c r="B2392" s="26" t="s">
        <v>1433</v>
      </c>
      <c r="C2392" s="27"/>
      <c r="D2392" s="64"/>
      <c r="E2392" s="12"/>
      <c r="F2392" s="215"/>
    </row>
    <row r="2393" spans="1:7" ht="51" x14ac:dyDescent="0.2">
      <c r="A2393" s="376"/>
      <c r="B2393" s="26" t="s">
        <v>1434</v>
      </c>
      <c r="C2393" s="27"/>
      <c r="D2393" s="64"/>
      <c r="E2393" s="12"/>
      <c r="F2393" s="215"/>
    </row>
    <row r="2394" spans="1:7" ht="51" x14ac:dyDescent="0.2">
      <c r="A2394" s="376"/>
      <c r="B2394" s="157" t="s">
        <v>1435</v>
      </c>
      <c r="C2394" s="27"/>
      <c r="D2394" s="64"/>
      <c r="E2394" s="12"/>
      <c r="F2394" s="215"/>
    </row>
    <row r="2395" spans="1:7" ht="63.75" x14ac:dyDescent="0.2">
      <c r="A2395" s="376"/>
      <c r="B2395" s="157" t="s">
        <v>1436</v>
      </c>
      <c r="C2395" s="27"/>
      <c r="D2395" s="64"/>
      <c r="E2395" s="12"/>
      <c r="F2395" s="215"/>
    </row>
    <row r="2396" spans="1:7" ht="25.5" x14ac:dyDescent="0.2">
      <c r="A2396" s="376"/>
      <c r="B2396" s="157" t="s">
        <v>1437</v>
      </c>
      <c r="C2396" s="27"/>
      <c r="D2396" s="64"/>
      <c r="E2396" s="12"/>
      <c r="F2396" s="215"/>
    </row>
    <row r="2397" spans="1:7" ht="63.75" x14ac:dyDescent="0.2">
      <c r="A2397" s="376"/>
      <c r="B2397" s="157" t="s">
        <v>1438</v>
      </c>
      <c r="C2397" s="27"/>
      <c r="D2397" s="64"/>
      <c r="E2397" s="12"/>
      <c r="F2397" s="215"/>
    </row>
    <row r="2398" spans="1:7" ht="25.5" x14ac:dyDescent="0.2">
      <c r="A2398" s="376"/>
      <c r="B2398" s="157" t="s">
        <v>1439</v>
      </c>
      <c r="C2398" s="27"/>
      <c r="D2398" s="64"/>
      <c r="E2398" s="12"/>
      <c r="F2398" s="215"/>
    </row>
    <row r="2399" spans="1:7" ht="26.25" thickBot="1" x14ac:dyDescent="0.25">
      <c r="A2399" s="388"/>
      <c r="B2399" s="284" t="s">
        <v>1440</v>
      </c>
      <c r="C2399" s="290" t="s">
        <v>37</v>
      </c>
      <c r="D2399" s="292">
        <v>3.15</v>
      </c>
      <c r="E2399" s="92"/>
      <c r="F2399" s="358">
        <f>E2399*D2399</f>
        <v>0</v>
      </c>
    </row>
    <row r="2400" spans="1:7" x14ac:dyDescent="0.2">
      <c r="A2400" s="376"/>
      <c r="B2400" s="26"/>
      <c r="C2400" s="27"/>
      <c r="D2400" s="64"/>
      <c r="E2400" s="12"/>
      <c r="F2400" s="215"/>
    </row>
    <row r="2401" spans="1:6" ht="51" x14ac:dyDescent="0.2">
      <c r="A2401" s="213" t="s">
        <v>1441</v>
      </c>
      <c r="B2401" s="26" t="s">
        <v>1442</v>
      </c>
      <c r="C2401" s="27"/>
      <c r="D2401" s="29"/>
      <c r="E2401" s="12"/>
      <c r="F2401" s="215"/>
    </row>
    <row r="2402" spans="1:6" ht="25.5" x14ac:dyDescent="0.2">
      <c r="A2402" s="213"/>
      <c r="B2402" s="26" t="s">
        <v>1443</v>
      </c>
      <c r="C2402" s="27"/>
      <c r="D2402" s="29"/>
      <c r="E2402" s="12"/>
      <c r="F2402" s="215"/>
    </row>
    <row r="2403" spans="1:6" ht="25.5" x14ac:dyDescent="0.2">
      <c r="A2403" s="213"/>
      <c r="B2403" s="26" t="s">
        <v>1444</v>
      </c>
      <c r="C2403" s="27"/>
      <c r="D2403" s="29"/>
      <c r="E2403" s="12"/>
      <c r="F2403" s="215"/>
    </row>
    <row r="2404" spans="1:6" x14ac:dyDescent="0.2">
      <c r="A2404" s="213"/>
      <c r="B2404" s="26" t="s">
        <v>1445</v>
      </c>
      <c r="C2404" s="27" t="s">
        <v>31</v>
      </c>
      <c r="D2404" s="230">
        <v>12</v>
      </c>
      <c r="E2404" s="12"/>
      <c r="F2404" s="215">
        <f>E2404*D2404</f>
        <v>0</v>
      </c>
    </row>
    <row r="2405" spans="1:6" x14ac:dyDescent="0.2">
      <c r="A2405" s="376"/>
      <c r="B2405" s="26"/>
      <c r="C2405" s="27"/>
      <c r="D2405" s="64"/>
      <c r="E2405" s="12"/>
      <c r="F2405" s="215"/>
    </row>
    <row r="2406" spans="1:6" ht="51" x14ac:dyDescent="0.2">
      <c r="A2406" s="213" t="s">
        <v>1446</v>
      </c>
      <c r="B2406" s="20" t="s">
        <v>107</v>
      </c>
      <c r="C2406" s="25"/>
      <c r="D2406" s="25"/>
      <c r="E2406" s="25"/>
      <c r="F2406" s="242"/>
    </row>
    <row r="2407" spans="1:6" x14ac:dyDescent="0.2">
      <c r="A2407" s="376"/>
      <c r="B2407" s="12" t="s">
        <v>40</v>
      </c>
      <c r="C2407" s="25"/>
      <c r="D2407" s="25"/>
      <c r="E2407" s="25"/>
      <c r="F2407" s="242"/>
    </row>
    <row r="2408" spans="1:6" x14ac:dyDescent="0.2">
      <c r="A2408" s="376"/>
      <c r="B2408" s="12"/>
      <c r="C2408" s="25"/>
      <c r="D2408" s="25"/>
      <c r="E2408" s="25"/>
      <c r="F2408" s="242"/>
    </row>
    <row r="2409" spans="1:6" x14ac:dyDescent="0.2">
      <c r="A2409" s="376"/>
      <c r="B2409" s="25" t="s">
        <v>26</v>
      </c>
      <c r="C2409" s="25"/>
      <c r="D2409" s="25">
        <v>490.51</v>
      </c>
      <c r="E2409" s="25"/>
      <c r="F2409" s="242"/>
    </row>
    <row r="2410" spans="1:6" x14ac:dyDescent="0.2">
      <c r="A2410" s="376"/>
      <c r="B2410" s="12"/>
      <c r="C2410" s="25"/>
      <c r="D2410" s="25"/>
      <c r="E2410" s="25"/>
      <c r="F2410" s="242"/>
    </row>
    <row r="2411" spans="1:6" x14ac:dyDescent="0.2">
      <c r="A2411" s="376"/>
      <c r="B2411" s="25" t="s">
        <v>898</v>
      </c>
      <c r="C2411" s="25"/>
      <c r="D2411" s="25">
        <v>523.39</v>
      </c>
      <c r="E2411" s="25"/>
      <c r="F2411" s="242"/>
    </row>
    <row r="2412" spans="1:6" x14ac:dyDescent="0.2">
      <c r="A2412" s="376"/>
      <c r="B2412" s="12"/>
      <c r="C2412" s="25"/>
      <c r="D2412" s="25"/>
      <c r="E2412" s="25"/>
      <c r="F2412" s="242"/>
    </row>
    <row r="2413" spans="1:6" x14ac:dyDescent="0.2">
      <c r="A2413" s="376"/>
      <c r="B2413" s="25" t="s">
        <v>899</v>
      </c>
      <c r="C2413" s="25"/>
      <c r="D2413" s="25">
        <f>2*523.39</f>
        <v>1046.78</v>
      </c>
      <c r="E2413" s="25"/>
      <c r="F2413" s="242"/>
    </row>
    <row r="2414" spans="1:6" x14ac:dyDescent="0.2">
      <c r="A2414" s="376"/>
      <c r="B2414" s="25"/>
      <c r="C2414" s="25"/>
      <c r="D2414" s="25"/>
      <c r="E2414" s="25"/>
      <c r="F2414" s="242"/>
    </row>
    <row r="2415" spans="1:6" x14ac:dyDescent="0.2">
      <c r="A2415" s="376"/>
      <c r="B2415" s="25" t="s">
        <v>909</v>
      </c>
      <c r="C2415" s="25"/>
      <c r="D2415" s="25">
        <v>523.39</v>
      </c>
      <c r="E2415" s="25"/>
      <c r="F2415" s="242"/>
    </row>
    <row r="2416" spans="1:6" x14ac:dyDescent="0.2">
      <c r="A2416" s="376"/>
      <c r="B2416" s="12"/>
      <c r="C2416" s="25"/>
      <c r="D2416" s="25"/>
      <c r="E2416" s="25"/>
      <c r="F2416" s="242"/>
    </row>
    <row r="2417" spans="1:6" x14ac:dyDescent="0.2">
      <c r="A2417" s="376"/>
      <c r="B2417" s="12" t="s">
        <v>1514</v>
      </c>
      <c r="C2417" s="27" t="s">
        <v>37</v>
      </c>
      <c r="D2417" s="25">
        <f>SUM(D2408:D2416)</f>
        <v>2584.0699999999997</v>
      </c>
      <c r="E2417" s="12"/>
      <c r="F2417" s="215">
        <f>E2417*D2417</f>
        <v>0</v>
      </c>
    </row>
    <row r="2418" spans="1:6" ht="13.5" thickBot="1" x14ac:dyDescent="0.25">
      <c r="A2418" s="388"/>
      <c r="B2418" s="92"/>
      <c r="C2418" s="91"/>
      <c r="D2418" s="71"/>
      <c r="E2418" s="92"/>
      <c r="F2418" s="358"/>
    </row>
    <row r="2419" spans="1:6" ht="15.75" thickBot="1" x14ac:dyDescent="0.25">
      <c r="A2419" s="235" t="str">
        <f>A2355</f>
        <v>16.</v>
      </c>
      <c r="B2419" s="52" t="s">
        <v>104</v>
      </c>
      <c r="C2419" s="53"/>
      <c r="D2419" s="54"/>
      <c r="E2419" s="55"/>
      <c r="F2419" s="238">
        <f>SUM(F2357:F2418)</f>
        <v>0</v>
      </c>
    </row>
    <row r="2420" spans="1:6" ht="13.5" thickBot="1" x14ac:dyDescent="0.25">
      <c r="A2420" s="413"/>
      <c r="B2420" s="82"/>
      <c r="C2420" s="82"/>
      <c r="D2420" s="82"/>
      <c r="E2420" s="82"/>
      <c r="F2420" s="395"/>
    </row>
    <row r="2421" spans="1:6" ht="18.75" thickBot="1" x14ac:dyDescent="0.3">
      <c r="A2421" s="434"/>
      <c r="B2421" s="58" t="s">
        <v>16</v>
      </c>
      <c r="C2421" s="59"/>
      <c r="D2421" s="59"/>
      <c r="E2421" s="59"/>
      <c r="F2421" s="435"/>
    </row>
    <row r="2422" spans="1:6" ht="15.75" thickBot="1" x14ac:dyDescent="0.25">
      <c r="A2422" s="235" t="str">
        <f>A5</f>
        <v>1.</v>
      </c>
      <c r="B2422" s="52" t="str">
        <f>B5</f>
        <v>ЗЕМЉАНИ РАДОВИ</v>
      </c>
      <c r="C2422" s="53"/>
      <c r="D2422" s="53"/>
      <c r="E2422" s="57"/>
      <c r="F2422" s="238">
        <f>F62</f>
        <v>0</v>
      </c>
    </row>
    <row r="2423" spans="1:6" ht="15.75" thickBot="1" x14ac:dyDescent="0.25">
      <c r="A2423" s="235" t="str">
        <f>A63</f>
        <v>2.</v>
      </c>
      <c r="B2423" s="52" t="str">
        <f>B63</f>
        <v>БЕТОНСКИ И АРМИРАНО БЕТОНСКИ РАДОВИ</v>
      </c>
      <c r="C2423" s="53"/>
      <c r="D2423" s="53"/>
      <c r="E2423" s="57"/>
      <c r="F2423" s="238">
        <f>F359</f>
        <v>0</v>
      </c>
    </row>
    <row r="2424" spans="1:6" ht="15.75" thickBot="1" x14ac:dyDescent="0.25">
      <c r="A2424" s="235" t="str">
        <f>A360</f>
        <v>3.</v>
      </c>
      <c r="B2424" s="52" t="str">
        <f>B360</f>
        <v xml:space="preserve">АРМИРАЧКИ РАДОВИ </v>
      </c>
      <c r="C2424" s="53"/>
      <c r="D2424" s="53"/>
      <c r="E2424" s="57"/>
      <c r="F2424" s="238">
        <f>F366</f>
        <v>0</v>
      </c>
    </row>
    <row r="2425" spans="1:6" ht="15.75" thickBot="1" x14ac:dyDescent="0.25">
      <c r="A2425" s="235" t="str">
        <f>A367:B367</f>
        <v>4.</v>
      </c>
      <c r="B2425" s="52" t="str">
        <f>B367</f>
        <v>ЗИДАРСКИ РАДОВИ</v>
      </c>
      <c r="C2425" s="53"/>
      <c r="D2425" s="53"/>
      <c r="E2425" s="57"/>
      <c r="F2425" s="238">
        <f>F749</f>
        <v>0</v>
      </c>
    </row>
    <row r="2426" spans="1:6" ht="15.75" thickBot="1" x14ac:dyDescent="0.25">
      <c r="A2426" s="235" t="str">
        <f>A750</f>
        <v>5.</v>
      </c>
      <c r="B2426" s="52" t="str">
        <f>B750</f>
        <v>ТЕСАРСКИ РАДОВИ</v>
      </c>
      <c r="C2426" s="53"/>
      <c r="D2426" s="53"/>
      <c r="E2426" s="57"/>
      <c r="F2426" s="238">
        <f>F802</f>
        <v>0</v>
      </c>
    </row>
    <row r="2427" spans="1:6" ht="15.75" thickBot="1" x14ac:dyDescent="0.25">
      <c r="A2427" s="235" t="str">
        <f>A803</f>
        <v>6.</v>
      </c>
      <c r="B2427" s="52" t="str">
        <f>B803</f>
        <v>ИЗОЛАТЕРСКИ РАДОВИ</v>
      </c>
      <c r="C2427" s="53"/>
      <c r="D2427" s="53"/>
      <c r="E2427" s="57"/>
      <c r="F2427" s="238">
        <f>F1164</f>
        <v>0</v>
      </c>
    </row>
    <row r="2428" spans="1:6" ht="15.75" thickBot="1" x14ac:dyDescent="0.25">
      <c r="A2428" s="235" t="str">
        <f>A1165</f>
        <v>7.</v>
      </c>
      <c r="B2428" s="52" t="str">
        <f>B1165</f>
        <v>СУВОМОНТАЖНИ РАДОВИ</v>
      </c>
      <c r="C2428" s="53"/>
      <c r="D2428" s="53"/>
      <c r="E2428" s="57"/>
      <c r="F2428" s="238">
        <f>F1269</f>
        <v>0</v>
      </c>
    </row>
    <row r="2429" spans="1:6" ht="15.75" thickBot="1" x14ac:dyDescent="0.25">
      <c r="A2429" s="235" t="str">
        <f>A1270</f>
        <v>8.</v>
      </c>
      <c r="B2429" s="52" t="str">
        <f>B1270</f>
        <v>СТОЛАРСКИ  РАДОВИ</v>
      </c>
      <c r="C2429" s="53"/>
      <c r="D2429" s="53"/>
      <c r="E2429" s="57"/>
      <c r="F2429" s="238">
        <f>F1383</f>
        <v>0</v>
      </c>
    </row>
    <row r="2430" spans="1:6" ht="15.75" thickBot="1" x14ac:dyDescent="0.25">
      <c r="A2430" s="235" t="str">
        <f>A1384</f>
        <v>9.</v>
      </c>
      <c r="B2430" s="52" t="str">
        <f>B1384</f>
        <v>ПВЦ СТОЛАРИЈА</v>
      </c>
      <c r="C2430" s="53"/>
      <c r="D2430" s="53"/>
      <c r="E2430" s="57"/>
      <c r="F2430" s="238">
        <f>F1513</f>
        <v>0</v>
      </c>
    </row>
    <row r="2431" spans="1:6" ht="15.75" thickBot="1" x14ac:dyDescent="0.25">
      <c r="A2431" s="235" t="str">
        <f>A1514</f>
        <v>10.</v>
      </c>
      <c r="B2431" s="52" t="str">
        <f>B1514</f>
        <v>АЛУМИНАРИЈА И БРАВАРСКИ РАДОВИ</v>
      </c>
      <c r="C2431" s="53"/>
      <c r="D2431" s="53"/>
      <c r="E2431" s="57"/>
      <c r="F2431" s="238">
        <f>F1848</f>
        <v>0</v>
      </c>
    </row>
    <row r="2432" spans="1:6" ht="15.75" thickBot="1" x14ac:dyDescent="0.25">
      <c r="A2432" s="235" t="str">
        <f>A1849</f>
        <v>11.</v>
      </c>
      <c r="B2432" s="52" t="str">
        <f>B1849</f>
        <v>ЛИМАРСКИ РАДОВИ</v>
      </c>
      <c r="C2432" s="53"/>
      <c r="D2432" s="53"/>
      <c r="E2432" s="57"/>
      <c r="F2432" s="238">
        <f>F1971</f>
        <v>0</v>
      </c>
    </row>
    <row r="2433" spans="1:11" ht="15.75" thickBot="1" x14ac:dyDescent="0.25">
      <c r="A2433" s="235" t="str">
        <f>A1972</f>
        <v>12.</v>
      </c>
      <c r="B2433" s="52" t="str">
        <f>B1972</f>
        <v>КЕРАМИЧАРСКИ РАДОВИ</v>
      </c>
      <c r="C2433" s="53"/>
      <c r="D2433" s="53"/>
      <c r="E2433" s="57"/>
      <c r="F2433" s="238">
        <f>F2167</f>
        <v>0</v>
      </c>
    </row>
    <row r="2434" spans="1:11" ht="15.75" thickBot="1" x14ac:dyDescent="0.25">
      <c r="A2434" s="235" t="str">
        <f>A2168</f>
        <v>13.</v>
      </c>
      <c r="B2434" s="52" t="str">
        <f>B2168</f>
        <v>ПОДОПОЛАГАЧКИ РАДОВИ</v>
      </c>
      <c r="C2434" s="53"/>
      <c r="D2434" s="53"/>
      <c r="E2434" s="57"/>
      <c r="F2434" s="238">
        <f>F2228</f>
        <v>0</v>
      </c>
    </row>
    <row r="2435" spans="1:11" ht="15.75" thickBot="1" x14ac:dyDescent="0.25">
      <c r="A2435" s="235" t="str">
        <f>A2229</f>
        <v>14.</v>
      </c>
      <c r="B2435" s="52" t="str">
        <f>B2229</f>
        <v>МОЛЕРСКО ФАРБАРСКИ РАДОВИ</v>
      </c>
      <c r="C2435" s="53"/>
      <c r="D2435" s="53"/>
      <c r="E2435" s="57"/>
      <c r="F2435" s="238">
        <f>F2280</f>
        <v>0</v>
      </c>
    </row>
    <row r="2436" spans="1:11" ht="15.75" thickBot="1" x14ac:dyDescent="0.25">
      <c r="A2436" s="235" t="str">
        <f>A2281</f>
        <v>15.</v>
      </c>
      <c r="B2436" s="52" t="str">
        <f>B2281</f>
        <v>ФАСАДЕРСКИ РАДОВИ</v>
      </c>
      <c r="C2436" s="53"/>
      <c r="D2436" s="53"/>
      <c r="E2436" s="57"/>
      <c r="F2436" s="238">
        <f>F2354</f>
        <v>0</v>
      </c>
    </row>
    <row r="2437" spans="1:11" ht="15.75" thickBot="1" x14ac:dyDescent="0.25">
      <c r="A2437" s="235" t="str">
        <f>A2355</f>
        <v>16.</v>
      </c>
      <c r="B2437" s="52" t="str">
        <f>B2355</f>
        <v>РАЗНИ РАДОВИ</v>
      </c>
      <c r="C2437" s="53"/>
      <c r="D2437" s="53"/>
      <c r="E2437" s="57"/>
      <c r="F2437" s="238">
        <f>F2419</f>
        <v>0</v>
      </c>
    </row>
    <row r="2438" spans="1:11" ht="15.75" thickBot="1" x14ac:dyDescent="0.25">
      <c r="A2438" s="436"/>
      <c r="B2438" s="54"/>
      <c r="C2438" s="53"/>
      <c r="D2438" s="53"/>
      <c r="E2438" s="53"/>
      <c r="F2438" s="237"/>
    </row>
    <row r="2439" spans="1:11" ht="15.75" thickBot="1" x14ac:dyDescent="0.25">
      <c r="A2439" s="437"/>
      <c r="B2439" s="129" t="s">
        <v>268</v>
      </c>
      <c r="C2439" s="102"/>
      <c r="D2439" s="102"/>
      <c r="E2439" s="130"/>
      <c r="F2439" s="238">
        <f>SUM(F2422:F2437)</f>
        <v>0</v>
      </c>
    </row>
    <row r="2440" spans="1:11" s="84" customFormat="1" ht="15.75" thickBot="1" x14ac:dyDescent="0.25">
      <c r="A2440" s="437"/>
      <c r="B2440" s="129" t="s">
        <v>269</v>
      </c>
      <c r="C2440" s="102"/>
      <c r="D2440" s="102"/>
      <c r="E2440" s="130"/>
      <c r="F2440" s="238">
        <f>+F2439*0.2</f>
        <v>0</v>
      </c>
      <c r="G2440" s="8"/>
      <c r="H2440" s="8"/>
      <c r="I2440" s="8"/>
      <c r="J2440" s="8"/>
      <c r="K2440" s="8"/>
    </row>
    <row r="2441" spans="1:11" ht="15.75" thickBot="1" x14ac:dyDescent="0.25">
      <c r="A2441" s="437"/>
      <c r="B2441" s="129" t="s">
        <v>270</v>
      </c>
      <c r="C2441" s="102"/>
      <c r="D2441" s="102"/>
      <c r="E2441" s="130"/>
      <c r="F2441" s="238">
        <f>SUM(F2439+F2440)</f>
        <v>0</v>
      </c>
    </row>
    <row r="2442" spans="1:11" x14ac:dyDescent="0.2">
      <c r="A2442" s="413"/>
      <c r="B2442" s="82"/>
      <c r="C2442" s="82"/>
      <c r="D2442" s="82"/>
      <c r="E2442" s="82"/>
      <c r="F2442" s="395"/>
    </row>
    <row r="2443" spans="1:11" x14ac:dyDescent="0.2">
      <c r="A2443" s="413"/>
      <c r="B2443" s="82"/>
      <c r="C2443" s="82"/>
      <c r="D2443" s="82"/>
      <c r="E2443" s="82"/>
      <c r="F2443" s="395"/>
    </row>
    <row r="2444" spans="1:11" x14ac:dyDescent="0.2">
      <c r="A2444" s="413"/>
      <c r="B2444" s="82"/>
      <c r="C2444" s="82"/>
      <c r="D2444" s="82"/>
      <c r="E2444" s="82"/>
      <c r="F2444" s="395"/>
    </row>
    <row r="2445" spans="1:11" x14ac:dyDescent="0.2">
      <c r="A2445" s="413"/>
      <c r="B2445" s="82"/>
      <c r="C2445" s="82"/>
      <c r="D2445" s="82"/>
      <c r="E2445" s="170"/>
      <c r="F2445" s="395"/>
      <c r="G2445" s="154"/>
    </row>
    <row r="2446" spans="1:11" x14ac:dyDescent="0.2">
      <c r="A2446" s="413"/>
      <c r="B2446" s="98"/>
      <c r="C2446" s="82"/>
      <c r="D2446" s="82"/>
      <c r="E2446" s="82"/>
      <c r="F2446" s="395"/>
      <c r="G2446" s="154"/>
    </row>
    <row r="2447" spans="1:11" x14ac:dyDescent="0.2">
      <c r="A2447" s="413"/>
      <c r="B2447" s="82"/>
      <c r="C2447" s="82"/>
      <c r="D2447" s="82"/>
      <c r="E2447" s="250"/>
      <c r="F2447" s="395"/>
      <c r="G2447" s="154"/>
    </row>
    <row r="2448" spans="1:11" x14ac:dyDescent="0.2">
      <c r="A2448" s="413"/>
      <c r="B2448" s="82"/>
      <c r="C2448" s="82"/>
      <c r="D2448" s="82"/>
      <c r="E2448" s="82"/>
      <c r="F2448" s="395"/>
      <c r="G2448" s="82"/>
    </row>
    <row r="2449" spans="1:11" x14ac:dyDescent="0.2">
      <c r="A2449" s="413"/>
      <c r="B2449" s="82"/>
      <c r="C2449" s="82"/>
      <c r="D2449" s="82"/>
      <c r="E2449" s="82"/>
      <c r="F2449" s="395"/>
    </row>
    <row r="2450" spans="1:11" x14ac:dyDescent="0.2">
      <c r="A2450" s="413"/>
      <c r="B2450" s="82"/>
      <c r="C2450" s="82"/>
      <c r="D2450" s="82"/>
      <c r="E2450" s="82"/>
      <c r="F2450" s="395"/>
    </row>
    <row r="2451" spans="1:11" x14ac:dyDescent="0.2">
      <c r="A2451" s="413"/>
      <c r="B2451" s="82"/>
      <c r="C2451" s="82"/>
      <c r="D2451" s="82"/>
      <c r="E2451" s="250"/>
      <c r="F2451" s="395"/>
    </row>
    <row r="2452" spans="1:11" x14ac:dyDescent="0.2">
      <c r="A2452" s="413"/>
      <c r="B2452" s="82"/>
      <c r="C2452" s="82"/>
      <c r="D2452" s="82"/>
      <c r="E2452" s="82"/>
      <c r="F2452" s="395"/>
    </row>
    <row r="2453" spans="1:11" x14ac:dyDescent="0.2">
      <c r="A2453" s="413"/>
      <c r="B2453" s="82"/>
      <c r="C2453" s="82"/>
      <c r="D2453" s="82"/>
      <c r="E2453" s="99" t="s">
        <v>1520</v>
      </c>
      <c r="F2453" s="438"/>
    </row>
    <row r="2454" spans="1:11" x14ac:dyDescent="0.2">
      <c r="A2454" s="413"/>
      <c r="B2454" s="82"/>
      <c r="C2454" s="82"/>
      <c r="D2454" s="82"/>
      <c r="E2454" s="11"/>
      <c r="F2454" s="439"/>
      <c r="G2454" s="84"/>
      <c r="H2454" s="84"/>
      <c r="I2454" s="84"/>
      <c r="J2454" s="84"/>
      <c r="K2454" s="84"/>
    </row>
    <row r="2455" spans="1:11" x14ac:dyDescent="0.2">
      <c r="A2455" s="413"/>
      <c r="B2455" s="82"/>
      <c r="C2455" s="82"/>
      <c r="D2455" s="82"/>
      <c r="E2455" s="99" t="s">
        <v>1521</v>
      </c>
      <c r="F2455" s="439"/>
      <c r="G2455" s="84"/>
      <c r="H2455" s="84"/>
      <c r="I2455" s="84"/>
      <c r="J2455" s="84"/>
      <c r="K2455" s="84"/>
    </row>
    <row r="2456" spans="1:11" x14ac:dyDescent="0.2">
      <c r="A2456" s="413"/>
      <c r="B2456" s="82"/>
      <c r="C2456" s="82"/>
      <c r="D2456" s="82"/>
      <c r="E2456" s="449"/>
      <c r="F2456" s="439"/>
      <c r="G2456" s="84"/>
      <c r="H2456" s="84"/>
      <c r="I2456" s="84"/>
      <c r="J2456" s="84"/>
      <c r="K2456" s="84"/>
    </row>
    <row r="2457" spans="1:11" x14ac:dyDescent="0.2">
      <c r="A2457" s="413"/>
      <c r="B2457" s="82"/>
      <c r="C2457" s="82"/>
      <c r="D2457" s="82"/>
      <c r="E2457" s="449"/>
      <c r="F2457" s="395"/>
      <c r="G2457" s="251"/>
      <c r="H2457" s="199"/>
    </row>
    <row r="2458" spans="1:11" x14ac:dyDescent="0.2">
      <c r="A2458" s="413"/>
      <c r="B2458" s="82"/>
      <c r="C2458" s="82"/>
      <c r="D2458" s="82"/>
      <c r="E2458" s="99"/>
      <c r="F2458" s="395"/>
    </row>
    <row r="2459" spans="1:11" x14ac:dyDescent="0.2">
      <c r="A2459" s="413"/>
      <c r="B2459" s="82"/>
      <c r="C2459" s="82"/>
      <c r="D2459" s="82"/>
      <c r="E2459" s="99" t="s">
        <v>1522</v>
      </c>
      <c r="F2459" s="395"/>
    </row>
    <row r="2460" spans="1:11" x14ac:dyDescent="0.2">
      <c r="A2460" s="413"/>
      <c r="B2460" s="82"/>
      <c r="C2460" s="82"/>
      <c r="D2460" s="82"/>
      <c r="E2460" s="11"/>
      <c r="F2460" s="395"/>
    </row>
    <row r="2461" spans="1:11" x14ac:dyDescent="0.2">
      <c r="A2461" s="440" t="s">
        <v>1519</v>
      </c>
      <c r="B2461" s="253"/>
      <c r="C2461" s="82"/>
      <c r="D2461" s="82"/>
      <c r="E2461" s="99" t="s">
        <v>1523</v>
      </c>
      <c r="F2461" s="395"/>
    </row>
    <row r="2462" spans="1:11" x14ac:dyDescent="0.2">
      <c r="A2462" s="413"/>
      <c r="B2462" s="82"/>
      <c r="C2462" s="82"/>
      <c r="D2462" s="82"/>
      <c r="E2462" s="98"/>
      <c r="F2462" s="395"/>
    </row>
    <row r="2463" spans="1:11" x14ac:dyDescent="0.2">
      <c r="A2463" s="413"/>
      <c r="B2463" s="82"/>
      <c r="C2463" s="82"/>
      <c r="D2463" s="82"/>
      <c r="E2463" s="250"/>
      <c r="F2463" s="395"/>
    </row>
    <row r="2464" spans="1:11" x14ac:dyDescent="0.2">
      <c r="A2464" s="413"/>
      <c r="B2464" s="82"/>
      <c r="C2464" s="82"/>
      <c r="D2464" s="82"/>
      <c r="E2464" s="82"/>
      <c r="F2464" s="395"/>
    </row>
    <row r="2465" spans="1:6" ht="13.5" thickBot="1" x14ac:dyDescent="0.25">
      <c r="A2465" s="441"/>
      <c r="B2465" s="442"/>
      <c r="C2465" s="443"/>
      <c r="D2465" s="443"/>
      <c r="E2465" s="444"/>
      <c r="F2465" s="445"/>
    </row>
    <row r="2466" spans="1:6" x14ac:dyDescent="0.2">
      <c r="E2466" s="84"/>
    </row>
  </sheetData>
  <mergeCells count="9">
    <mergeCell ref="A2465:B2465"/>
    <mergeCell ref="G1165:H1165"/>
    <mergeCell ref="B5:F5"/>
    <mergeCell ref="A3:A4"/>
    <mergeCell ref="B3:B4"/>
    <mergeCell ref="C3:C4"/>
    <mergeCell ref="A1:F1"/>
    <mergeCell ref="A2:F2"/>
    <mergeCell ref="A2461:B2461"/>
  </mergeCells>
  <phoneticPr fontId="5" type="noConversion"/>
  <printOptions horizontalCentered="1"/>
  <pageMargins left="0.9055118110236221" right="0.11811023622047245" top="0.78740157480314965" bottom="0.35433070866141736" header="0.11811023622047245" footer="0.11811023622047245"/>
  <pageSetup paperSize="9" orientation="portrait" r:id="rId1"/>
  <headerFooter scaleWithDoc="0" alignWithMargins="0">
    <oddFooter>&amp;R&amp;8&amp;P/&amp;N</oddFooter>
  </headerFooter>
  <rowBreaks count="104" manualBreakCount="104">
    <brk id="23" max="5" man="1"/>
    <brk id="47" max="5" man="1"/>
    <brk id="62" max="5" man="1"/>
    <brk id="89" max="5" man="1"/>
    <brk id="119" max="5" man="1"/>
    <brk id="144" max="5" man="1"/>
    <brk id="169" max="5" man="1"/>
    <brk id="201" max="5" man="1"/>
    <brk id="227" max="5" man="1"/>
    <brk id="255" max="5" man="1"/>
    <brk id="283" max="5" man="1"/>
    <brk id="314" max="5" man="1"/>
    <brk id="351" max="5" man="1"/>
    <brk id="359" max="5" man="1"/>
    <brk id="366" max="5" man="1"/>
    <brk id="391" max="5" man="1"/>
    <brk id="420" max="5" man="1"/>
    <brk id="439" max="5" man="1"/>
    <brk id="468" max="5" man="1"/>
    <brk id="499" max="5" man="1"/>
    <brk id="536" max="5" man="1"/>
    <brk id="561" max="5" man="1"/>
    <brk id="597" max="5" man="1"/>
    <brk id="631" max="5" man="1"/>
    <brk id="662" max="5" man="1"/>
    <brk id="681" max="5" man="1"/>
    <brk id="707" max="5" man="1"/>
    <brk id="733" max="5" man="1"/>
    <brk id="749" max="5" man="1"/>
    <brk id="771" max="5" man="1"/>
    <brk id="788" max="5" man="1"/>
    <brk id="802" max="5" man="1"/>
    <brk id="821" max="5" man="1"/>
    <brk id="834" max="5" man="1"/>
    <brk id="862" max="5" man="1"/>
    <brk id="879" max="5" man="1"/>
    <brk id="890" max="5" man="1"/>
    <brk id="918" max="5" man="1"/>
    <brk id="947" max="5" man="1"/>
    <brk id="961" max="5" man="1"/>
    <brk id="993" max="5" man="1"/>
    <brk id="1024" max="5" man="1"/>
    <brk id="1044" max="5" man="1"/>
    <brk id="1082" max="5" man="1"/>
    <brk id="1104" max="5" man="1"/>
    <brk id="1124" max="5" man="1"/>
    <brk id="1148" max="5" man="1"/>
    <brk id="1164" max="5" man="1"/>
    <brk id="1199" max="5" man="1"/>
    <brk id="1226" max="5" man="1"/>
    <brk id="1249" max="5" man="1"/>
    <brk id="1264" max="5" man="1"/>
    <brk id="1269" max="5" man="1"/>
    <brk id="1287" max="5" man="1"/>
    <brk id="1307" max="5" man="1"/>
    <brk id="1331" max="5" man="1"/>
    <brk id="1349" max="5" man="1"/>
    <brk id="1370" max="5" man="1"/>
    <brk id="1383" max="5" man="1"/>
    <brk id="1396" max="5" man="1"/>
    <brk id="1413" max="5" man="1"/>
    <brk id="1445" max="5" man="1"/>
    <brk id="1473" max="5" man="1"/>
    <brk id="1499" max="5" man="1"/>
    <brk id="1513" max="5" man="1"/>
    <brk id="1528" max="5" man="1"/>
    <brk id="1542" max="5" man="1"/>
    <brk id="1561" max="5" man="1"/>
    <brk id="1584" max="5" man="1"/>
    <brk id="1609" max="5" man="1"/>
    <brk id="1636" max="5" man="1"/>
    <brk id="1652" max="5" man="1"/>
    <brk id="1671" max="5" man="1"/>
    <brk id="1703" max="5" man="1"/>
    <brk id="1720" max="5" man="1"/>
    <brk id="1741" max="5" man="1"/>
    <brk id="1755" max="5" man="1"/>
    <brk id="1773" max="5" man="1"/>
    <brk id="1796" max="5" man="1"/>
    <brk id="1819" max="5" man="1"/>
    <brk id="1848" max="5" man="1"/>
    <brk id="1866" max="5" man="1"/>
    <brk id="1890" max="5" man="1"/>
    <brk id="1915" max="5" man="1"/>
    <brk id="1937" max="5" man="1"/>
    <brk id="1960" max="5" man="1"/>
    <brk id="1971" max="5" man="1"/>
    <brk id="2003" max="5" man="1"/>
    <brk id="2042" max="5" man="1"/>
    <brk id="2089" max="5" man="1"/>
    <brk id="2118" max="5" man="1"/>
    <brk id="2150" max="5" man="1"/>
    <brk id="2167" max="5" man="1"/>
    <brk id="2176" max="5" man="1"/>
    <brk id="2197" max="5" man="1"/>
    <brk id="2228" max="5" man="1"/>
    <brk id="2247" max="5" man="1"/>
    <brk id="2280" max="5" man="1"/>
    <brk id="2305" max="5" man="1"/>
    <brk id="2329" max="5" man="1"/>
    <brk id="2354" max="5" man="1"/>
    <brk id="2382" max="5" man="1"/>
    <brk id="2399" max="5" man="1"/>
    <brk id="2419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ПиП-АГ-Врање 3.2.</vt:lpstr>
      <vt:lpstr>'ПиП-АГ-Врање 3.2.'!Print_Area</vt:lpstr>
      <vt:lpstr>'ПиП-АГ-Врање 3.2.'!Print_Titles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ag predmer</dc:title>
  <dc:creator>tanja</dc:creator>
  <cp:lastModifiedBy>Tanja Ciganovic</cp:lastModifiedBy>
  <cp:lastPrinted>2018-08-22T10:54:34Z</cp:lastPrinted>
  <dcterms:created xsi:type="dcterms:W3CDTF">1996-12-26T11:58:47Z</dcterms:created>
  <dcterms:modified xsi:type="dcterms:W3CDTF">2018-08-22T10:59:33Z</dcterms:modified>
</cp:coreProperties>
</file>